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15" windowHeight="11160" tabRatio="886" activeTab="4"/>
  </bookViews>
  <sheets>
    <sheet name="B1 TH 21-25" sheetId="5" r:id="rId1"/>
    <sheet name="B2 NSĐP 21-25" sheetId="1" r:id="rId2"/>
    <sheet name="B3.DC 21-25 CTMTQG" sheetId="22" r:id="rId3"/>
    <sheet name="B4 DC NSDP 25" sheetId="21" r:id="rId4"/>
    <sheet name="B5.Bieu DC2025 CTMTQG" sheetId="23" r:id="rId5"/>
    <sheet name="TH cac DonVi (k in)" sheetId="20" state="hidden" r:id="rId6"/>
    <sheet name="NSTW 21-25" sheetId="6" state="hidden" r:id="rId7"/>
    <sheet name="ODA 21-25" sheetId="3" state="hidden" r:id="rId8"/>
    <sheet name="DS nop BC" sheetId="18" state="hidden" r:id="rId9"/>
    <sheet name="nang luc tk" sheetId="17" state="hidden" r:id="rId10"/>
  </sheets>
  <definedNames>
    <definedName name="_Fill" localSheetId="4" hidden="1">#REF!</definedName>
    <definedName name="_Fill" hidden="1">#REF!</definedName>
    <definedName name="_xlnm._FilterDatabase" localSheetId="1" hidden="1">'B2 NSĐP 21-25'!$A$331:$W$389</definedName>
    <definedName name="_xlnm._FilterDatabase" localSheetId="2" hidden="1">'B3.DC 21-25 CTMTQG'!$H$1:$H$312</definedName>
    <definedName name="_xlnm._FilterDatabase" localSheetId="3" hidden="1">'B4 DC NSDP 25'!$A$11:$AL$233</definedName>
    <definedName name="_xlnm._FilterDatabase" localSheetId="4" hidden="1">'B5.Bieu DC2025 CTMTQG'!$9:$286</definedName>
    <definedName name="_xlnm._FilterDatabase" localSheetId="6" hidden="1">'NSTW 21-25'!$A$12:$AV$156</definedName>
    <definedName name="_xlnm._FilterDatabase" localSheetId="7" hidden="1">'ODA 21-25'!$A$14:$AY$37</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B5.1" localSheetId="4" hidden="1">{"'Sheet1'!$L$16"}</definedName>
    <definedName name="B5.1" hidden="1">{"'Sheet1'!$L$16"}</definedName>
    <definedName name="CLVC3">0.1</definedName>
    <definedName name="h" localSheetId="4" hidden="1">{"'Sheet1'!$L$16"}</definedName>
    <definedName name="h" hidden="1">{"'Sheet1'!$L$16"}</definedName>
    <definedName name="Heä_soá_laép_xaø_H">1.7</definedName>
    <definedName name="HSCT3">0.1</definedName>
    <definedName name="HSDN">2.5</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_xlnm.Print_Area" localSheetId="0">'B1 TH 21-25'!$A$1:$M$22</definedName>
    <definedName name="_xlnm.Print_Area" localSheetId="1">'B2 NSĐP 21-25'!$A$1:$W$389</definedName>
    <definedName name="_xlnm.Print_Area" localSheetId="2">'B3.DC 21-25 CTMTQG'!$A$1:$J$312</definedName>
    <definedName name="_xlnm.Print_Area" localSheetId="3">'B4 DC NSDP 25'!$A$1:$AL$232</definedName>
    <definedName name="_xlnm.Print_Area" localSheetId="4">'B5.Bieu DC2025 CTMTQG'!$A$1:$N$287</definedName>
    <definedName name="_xlnm.Print_Area" localSheetId="6">'NSTW 21-25'!$A$1:$AQ$156</definedName>
    <definedName name="_xlnm.Print_Area" localSheetId="7">'ODA 21-25'!$A$1:$AT$38</definedName>
    <definedName name="_xlnm.Print_Titles" localSheetId="1">'B2 NSĐP 21-25'!$5:$12</definedName>
    <definedName name="_xlnm.Print_Titles" localSheetId="2">'B3.DC 21-25 CTMTQG'!$7:$10</definedName>
    <definedName name="_xlnm.Print_Titles" localSheetId="3">'B4 DC NSDP 25'!$5:$9</definedName>
    <definedName name="_xlnm.Print_Titles" localSheetId="4">'B5.Bieu DC2025 CTMTQG'!$6:$8</definedName>
    <definedName name="_xlnm.Print_Titles" localSheetId="6">'NSTW 21-25'!$5:$12</definedName>
    <definedName name="sa" hidden="1">#REF!</definedName>
    <definedName name="TaxTV">10%</definedName>
    <definedName name="TaxXL">5%</definedName>
    <definedName name="wrn.chi._.tiÆt." localSheetId="4" hidden="1">{#N/A,#N/A,FALSE,"Chi tiÆt"}</definedName>
    <definedName name="wrn.chi._.tiÆt." hidden="1">{#N/A,#N/A,FALSE,"Chi tiÆt"}</definedName>
    <definedName name="XCCT">0.5</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2" i="21"/>
  <c r="V302" i="1"/>
  <c r="V301" s="1"/>
  <c r="A3" l="1"/>
  <c r="A5" i="22" s="1"/>
  <c r="A3" i="21" s="1"/>
  <c r="A3" i="23" s="1"/>
  <c r="M276"/>
  <c r="I307" i="22"/>
  <c r="AQ22" i="21" l="1"/>
  <c r="AI36" i="1"/>
  <c r="L52" i="23" l="1"/>
  <c r="K52"/>
  <c r="J52"/>
  <c r="I52"/>
  <c r="H52"/>
  <c r="G52"/>
  <c r="F52"/>
  <c r="E52"/>
  <c r="D52"/>
  <c r="M55"/>
  <c r="H32" i="22"/>
  <c r="G32"/>
  <c r="F32"/>
  <c r="E32"/>
  <c r="D32"/>
  <c r="M182" i="23" l="1"/>
  <c r="I267" i="22" l="1"/>
  <c r="H266" l="1"/>
  <c r="G266"/>
  <c r="F266"/>
  <c r="E266"/>
  <c r="D266"/>
  <c r="H93"/>
  <c r="I92"/>
  <c r="I91"/>
  <c r="I103"/>
  <c r="I102"/>
  <c r="I101"/>
  <c r="I100"/>
  <c r="I99"/>
  <c r="I98"/>
  <c r="I97"/>
  <c r="I96"/>
  <c r="I95"/>
  <c r="I94"/>
  <c r="I107"/>
  <c r="G93"/>
  <c r="H90"/>
  <c r="G90"/>
  <c r="F93"/>
  <c r="F90"/>
  <c r="D103"/>
  <c r="D102"/>
  <c r="D101"/>
  <c r="D100"/>
  <c r="D99"/>
  <c r="D98"/>
  <c r="D97"/>
  <c r="D96"/>
  <c r="D95"/>
  <c r="D94"/>
  <c r="E93"/>
  <c r="D92"/>
  <c r="D91"/>
  <c r="E90"/>
  <c r="L284" i="23"/>
  <c r="G238" i="22"/>
  <c r="F238"/>
  <c r="E238"/>
  <c r="D238"/>
  <c r="H238"/>
  <c r="I251"/>
  <c r="H230"/>
  <c r="G230"/>
  <c r="F230"/>
  <c r="E230"/>
  <c r="D230"/>
  <c r="I232"/>
  <c r="I231"/>
  <c r="I208"/>
  <c r="H206"/>
  <c r="H217"/>
  <c r="G217"/>
  <c r="F217"/>
  <c r="E217"/>
  <c r="D217"/>
  <c r="I219"/>
  <c r="D90" l="1"/>
  <c r="F89"/>
  <c r="G89"/>
  <c r="H89"/>
  <c r="I90"/>
  <c r="D93"/>
  <c r="E89"/>
  <c r="I93"/>
  <c r="I274"/>
  <c r="D89" l="1"/>
  <c r="I89"/>
  <c r="I126"/>
  <c r="H136"/>
  <c r="H128"/>
  <c r="H113"/>
  <c r="L102" i="23"/>
  <c r="L66" l="1"/>
  <c r="K66"/>
  <c r="J66"/>
  <c r="I66"/>
  <c r="E66"/>
  <c r="D66"/>
  <c r="K284"/>
  <c r="J284"/>
  <c r="I284"/>
  <c r="H284"/>
  <c r="G284"/>
  <c r="E284"/>
  <c r="D284"/>
  <c r="M275"/>
  <c r="L273"/>
  <c r="K273"/>
  <c r="J273"/>
  <c r="I273"/>
  <c r="H273"/>
  <c r="F273"/>
  <c r="E273"/>
  <c r="D273"/>
  <c r="M287"/>
  <c r="M281"/>
  <c r="M280"/>
  <c r="M279"/>
  <c r="M278"/>
  <c r="M277"/>
  <c r="M274"/>
  <c r="I312" i="22"/>
  <c r="I311"/>
  <c r="I310"/>
  <c r="I309"/>
  <c r="I308"/>
  <c r="H304"/>
  <c r="G304"/>
  <c r="F304"/>
  <c r="E304"/>
  <c r="D304"/>
  <c r="I303"/>
  <c r="G300"/>
  <c r="F300"/>
  <c r="E300"/>
  <c r="D300"/>
  <c r="H300"/>
  <c r="I306"/>
  <c r="I305"/>
  <c r="M273" i="23" l="1"/>
  <c r="I304" i="22"/>
  <c r="F12" i="23" l="1"/>
  <c r="G12"/>
  <c r="D14"/>
  <c r="D13" s="1"/>
  <c r="E14"/>
  <c r="E13" s="1"/>
  <c r="H14"/>
  <c r="H13" s="1"/>
  <c r="I14"/>
  <c r="I13" s="1"/>
  <c r="J14"/>
  <c r="J13" s="1"/>
  <c r="K14"/>
  <c r="K13" s="1"/>
  <c r="L15"/>
  <c r="L14" s="1"/>
  <c r="L13" s="1"/>
  <c r="F17"/>
  <c r="G17"/>
  <c r="D18"/>
  <c r="E18"/>
  <c r="H18"/>
  <c r="I18"/>
  <c r="J18"/>
  <c r="K18"/>
  <c r="L19"/>
  <c r="L18" s="1"/>
  <c r="D20"/>
  <c r="H20"/>
  <c r="I20"/>
  <c r="J20"/>
  <c r="K20"/>
  <c r="L20"/>
  <c r="E21"/>
  <c r="M21"/>
  <c r="E22"/>
  <c r="M22"/>
  <c r="E23"/>
  <c r="M23"/>
  <c r="D25"/>
  <c r="D24" s="1"/>
  <c r="E25"/>
  <c r="E24" s="1"/>
  <c r="F25"/>
  <c r="F24" s="1"/>
  <c r="G25"/>
  <c r="G24" s="1"/>
  <c r="H25"/>
  <c r="H24" s="1"/>
  <c r="I25"/>
  <c r="I24" s="1"/>
  <c r="J25"/>
  <c r="J24" s="1"/>
  <c r="K25"/>
  <c r="K24" s="1"/>
  <c r="L25"/>
  <c r="L24" s="1"/>
  <c r="M26"/>
  <c r="M25" s="1"/>
  <c r="M24" s="1"/>
  <c r="D28"/>
  <c r="E28"/>
  <c r="H28"/>
  <c r="I28"/>
  <c r="K28"/>
  <c r="L28"/>
  <c r="J29"/>
  <c r="J28" s="1"/>
  <c r="M29"/>
  <c r="M30"/>
  <c r="M31"/>
  <c r="D34"/>
  <c r="E34"/>
  <c r="F34"/>
  <c r="F33" s="1"/>
  <c r="H34"/>
  <c r="I34"/>
  <c r="J34"/>
  <c r="K34"/>
  <c r="M35"/>
  <c r="M36"/>
  <c r="M38"/>
  <c r="M39"/>
  <c r="M40"/>
  <c r="M41"/>
  <c r="M42"/>
  <c r="M43"/>
  <c r="M44"/>
  <c r="M45"/>
  <c r="M46"/>
  <c r="D47"/>
  <c r="E47"/>
  <c r="H47"/>
  <c r="I47"/>
  <c r="J47"/>
  <c r="K47"/>
  <c r="L47"/>
  <c r="M48"/>
  <c r="M49"/>
  <c r="M50"/>
  <c r="M51"/>
  <c r="M53"/>
  <c r="M54"/>
  <c r="D57"/>
  <c r="D56" s="1"/>
  <c r="E57"/>
  <c r="E56" s="1"/>
  <c r="H57"/>
  <c r="H56" s="1"/>
  <c r="I57"/>
  <c r="I56" s="1"/>
  <c r="J57"/>
  <c r="J56" s="1"/>
  <c r="K57"/>
  <c r="K56" s="1"/>
  <c r="L57"/>
  <c r="L56" s="1"/>
  <c r="M58"/>
  <c r="D59"/>
  <c r="E59"/>
  <c r="H59"/>
  <c r="I59"/>
  <c r="K59"/>
  <c r="M61"/>
  <c r="M62"/>
  <c r="J63"/>
  <c r="J59" s="1"/>
  <c r="M63"/>
  <c r="M64"/>
  <c r="M65"/>
  <c r="H67"/>
  <c r="M67"/>
  <c r="H68"/>
  <c r="M68"/>
  <c r="H69"/>
  <c r="M69"/>
  <c r="M71"/>
  <c r="H70"/>
  <c r="M70"/>
  <c r="D72"/>
  <c r="E72"/>
  <c r="F72"/>
  <c r="F27" s="1"/>
  <c r="G72"/>
  <c r="G27" s="1"/>
  <c r="H72"/>
  <c r="I72"/>
  <c r="J72"/>
  <c r="K72"/>
  <c r="L72"/>
  <c r="M73"/>
  <c r="M74"/>
  <c r="D75"/>
  <c r="E75"/>
  <c r="H75"/>
  <c r="I75"/>
  <c r="J75"/>
  <c r="K75"/>
  <c r="N75"/>
  <c r="M76"/>
  <c r="M77"/>
  <c r="M78"/>
  <c r="S79"/>
  <c r="L80"/>
  <c r="L75" s="1"/>
  <c r="D82"/>
  <c r="D81" s="1"/>
  <c r="F82"/>
  <c r="I82"/>
  <c r="I81" s="1"/>
  <c r="J82"/>
  <c r="J81" s="1"/>
  <c r="K82"/>
  <c r="K81" s="1"/>
  <c r="E83"/>
  <c r="M83"/>
  <c r="E84"/>
  <c r="H84" s="1"/>
  <c r="L84"/>
  <c r="L82" s="1"/>
  <c r="L81" s="1"/>
  <c r="E85"/>
  <c r="H85" s="1"/>
  <c r="M85"/>
  <c r="F87"/>
  <c r="F86" s="1"/>
  <c r="G87"/>
  <c r="G86" s="1"/>
  <c r="E88"/>
  <c r="H88"/>
  <c r="I88"/>
  <c r="J88"/>
  <c r="K88"/>
  <c r="L88"/>
  <c r="D89"/>
  <c r="M89"/>
  <c r="D90"/>
  <c r="M90"/>
  <c r="E91"/>
  <c r="H91"/>
  <c r="I91"/>
  <c r="K91"/>
  <c r="L91"/>
  <c r="D92"/>
  <c r="J92"/>
  <c r="M92"/>
  <c r="D93"/>
  <c r="J93"/>
  <c r="M93"/>
  <c r="D94"/>
  <c r="J94"/>
  <c r="M94"/>
  <c r="D95"/>
  <c r="J95"/>
  <c r="M95"/>
  <c r="D96"/>
  <c r="J96"/>
  <c r="M96"/>
  <c r="D97"/>
  <c r="J97"/>
  <c r="M97"/>
  <c r="D98"/>
  <c r="J98"/>
  <c r="M98"/>
  <c r="D99"/>
  <c r="J99"/>
  <c r="M99"/>
  <c r="D100"/>
  <c r="J100"/>
  <c r="M100"/>
  <c r="D101"/>
  <c r="M101"/>
  <c r="D102"/>
  <c r="E102"/>
  <c r="I102"/>
  <c r="K102"/>
  <c r="J103"/>
  <c r="M103"/>
  <c r="J104"/>
  <c r="M104"/>
  <c r="M105"/>
  <c r="M106"/>
  <c r="H107"/>
  <c r="M107"/>
  <c r="M108"/>
  <c r="M109"/>
  <c r="M110"/>
  <c r="M111"/>
  <c r="M112"/>
  <c r="J113"/>
  <c r="M113"/>
  <c r="M114"/>
  <c r="M115"/>
  <c r="J116"/>
  <c r="M116"/>
  <c r="M117"/>
  <c r="M118"/>
  <c r="M119"/>
  <c r="M120"/>
  <c r="M121"/>
  <c r="M122"/>
  <c r="M123"/>
  <c r="J124"/>
  <c r="M124"/>
  <c r="J125"/>
  <c r="M125"/>
  <c r="M126"/>
  <c r="M127"/>
  <c r="M128"/>
  <c r="J129"/>
  <c r="M129"/>
  <c r="M130"/>
  <c r="M131"/>
  <c r="J132"/>
  <c r="M132"/>
  <c r="M133"/>
  <c r="D136"/>
  <c r="D135" s="1"/>
  <c r="E136"/>
  <c r="E135" s="1"/>
  <c r="H136"/>
  <c r="H135" s="1"/>
  <c r="I136"/>
  <c r="I135" s="1"/>
  <c r="J136"/>
  <c r="J135" s="1"/>
  <c r="K136"/>
  <c r="K135" s="1"/>
  <c r="L136"/>
  <c r="L135" s="1"/>
  <c r="M137"/>
  <c r="M138"/>
  <c r="M139"/>
  <c r="M140"/>
  <c r="D143"/>
  <c r="E143"/>
  <c r="H143"/>
  <c r="I143"/>
  <c r="J143"/>
  <c r="K143"/>
  <c r="L143"/>
  <c r="M144"/>
  <c r="D145"/>
  <c r="E145"/>
  <c r="H145"/>
  <c r="I145"/>
  <c r="J145"/>
  <c r="K145"/>
  <c r="L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3"/>
  <c r="M184"/>
  <c r="M185"/>
  <c r="M186"/>
  <c r="M187"/>
  <c r="D188"/>
  <c r="E188"/>
  <c r="H188"/>
  <c r="I188"/>
  <c r="J188"/>
  <c r="K188"/>
  <c r="L188"/>
  <c r="M189"/>
  <c r="M190"/>
  <c r="M191"/>
  <c r="M192"/>
  <c r="M193"/>
  <c r="D195"/>
  <c r="E195"/>
  <c r="H195"/>
  <c r="I195"/>
  <c r="J195"/>
  <c r="K195"/>
  <c r="L195"/>
  <c r="M196"/>
  <c r="D197"/>
  <c r="E197"/>
  <c r="H197"/>
  <c r="I197"/>
  <c r="J197"/>
  <c r="K197"/>
  <c r="L197"/>
  <c r="M198"/>
  <c r="M199"/>
  <c r="M200"/>
  <c r="M201"/>
  <c r="M202"/>
  <c r="M203"/>
  <c r="M204"/>
  <c r="D206"/>
  <c r="E206"/>
  <c r="H206"/>
  <c r="I206"/>
  <c r="J206"/>
  <c r="K206"/>
  <c r="L206"/>
  <c r="M207"/>
  <c r="M208"/>
  <c r="M209"/>
  <c r="M210"/>
  <c r="D211"/>
  <c r="E211"/>
  <c r="G211"/>
  <c r="H211"/>
  <c r="I211"/>
  <c r="K211"/>
  <c r="L211"/>
  <c r="J212"/>
  <c r="J211" s="1"/>
  <c r="M212"/>
  <c r="M213"/>
  <c r="D214"/>
  <c r="E214"/>
  <c r="F214"/>
  <c r="H214"/>
  <c r="I214"/>
  <c r="J214"/>
  <c r="K214"/>
  <c r="M215"/>
  <c r="M216"/>
  <c r="M217"/>
  <c r="M218"/>
  <c r="M219"/>
  <c r="M220"/>
  <c r="L221"/>
  <c r="M221" s="1"/>
  <c r="L222"/>
  <c r="M222" s="1"/>
  <c r="M223"/>
  <c r="M224"/>
  <c r="M225"/>
  <c r="M226"/>
  <c r="M227"/>
  <c r="M228"/>
  <c r="M229"/>
  <c r="D230"/>
  <c r="F230"/>
  <c r="G230"/>
  <c r="H230"/>
  <c r="I230"/>
  <c r="J230"/>
  <c r="K230"/>
  <c r="L230"/>
  <c r="E231"/>
  <c r="E230" s="1"/>
  <c r="M231"/>
  <c r="M232"/>
  <c r="M233"/>
  <c r="D234"/>
  <c r="E234"/>
  <c r="G234"/>
  <c r="H234"/>
  <c r="I234"/>
  <c r="J234"/>
  <c r="K234"/>
  <c r="L235"/>
  <c r="L234" s="1"/>
  <c r="D236"/>
  <c r="H236"/>
  <c r="I236"/>
  <c r="J236"/>
  <c r="K236"/>
  <c r="M237"/>
  <c r="M238"/>
  <c r="M239"/>
  <c r="E240"/>
  <c r="M240"/>
  <c r="E241"/>
  <c r="L241"/>
  <c r="L236" s="1"/>
  <c r="D242"/>
  <c r="E242"/>
  <c r="H242"/>
  <c r="I242"/>
  <c r="J242"/>
  <c r="K242"/>
  <c r="L242"/>
  <c r="M243"/>
  <c r="M244"/>
  <c r="M245"/>
  <c r="D246"/>
  <c r="E246"/>
  <c r="H246"/>
  <c r="I246"/>
  <c r="J246"/>
  <c r="K246"/>
  <c r="L246"/>
  <c r="N246"/>
  <c r="M247"/>
  <c r="M248"/>
  <c r="M249"/>
  <c r="M250"/>
  <c r="M251"/>
  <c r="M252"/>
  <c r="M253"/>
  <c r="M254"/>
  <c r="M255"/>
  <c r="M256"/>
  <c r="M257"/>
  <c r="M258"/>
  <c r="M259"/>
  <c r="M260"/>
  <c r="M261"/>
  <c r="M262"/>
  <c r="M263"/>
  <c r="M264"/>
  <c r="D266"/>
  <c r="E266"/>
  <c r="H266"/>
  <c r="J266"/>
  <c r="K266"/>
  <c r="L266"/>
  <c r="I267"/>
  <c r="I266" s="1"/>
  <c r="D268"/>
  <c r="E268"/>
  <c r="I268"/>
  <c r="J268"/>
  <c r="K268"/>
  <c r="L268"/>
  <c r="H269"/>
  <c r="H268" s="1"/>
  <c r="M269"/>
  <c r="D271"/>
  <c r="E271"/>
  <c r="H271"/>
  <c r="I271"/>
  <c r="J271"/>
  <c r="K271"/>
  <c r="L271"/>
  <c r="M272"/>
  <c r="M271" s="1"/>
  <c r="F270"/>
  <c r="G270"/>
  <c r="D282"/>
  <c r="E282"/>
  <c r="H282"/>
  <c r="I282"/>
  <c r="J282"/>
  <c r="K282"/>
  <c r="L283"/>
  <c r="L282" s="1"/>
  <c r="M285"/>
  <c r="M286"/>
  <c r="I302" i="22"/>
  <c r="I301"/>
  <c r="I299"/>
  <c r="I298" s="1"/>
  <c r="H298"/>
  <c r="G298"/>
  <c r="F298"/>
  <c r="E298"/>
  <c r="D298"/>
  <c r="I297"/>
  <c r="I296" s="1"/>
  <c r="H296"/>
  <c r="G296"/>
  <c r="F296"/>
  <c r="E296"/>
  <c r="D296"/>
  <c r="I294"/>
  <c r="I293" s="1"/>
  <c r="H293"/>
  <c r="G293"/>
  <c r="F293"/>
  <c r="E293"/>
  <c r="D293"/>
  <c r="I292"/>
  <c r="I291"/>
  <c r="H290"/>
  <c r="G290"/>
  <c r="F290"/>
  <c r="E290"/>
  <c r="D290"/>
  <c r="I286"/>
  <c r="I285"/>
  <c r="H284"/>
  <c r="G284"/>
  <c r="F284"/>
  <c r="E284"/>
  <c r="D284"/>
  <c r="I283"/>
  <c r="I282"/>
  <c r="H281"/>
  <c r="G281"/>
  <c r="F281"/>
  <c r="E281"/>
  <c r="D281"/>
  <c r="I280"/>
  <c r="I279"/>
  <c r="I278"/>
  <c r="H277"/>
  <c r="G277"/>
  <c r="F277"/>
  <c r="E277"/>
  <c r="D277"/>
  <c r="I276"/>
  <c r="I275"/>
  <c r="I273"/>
  <c r="I272"/>
  <c r="I271"/>
  <c r="I270"/>
  <c r="I269"/>
  <c r="I268"/>
  <c r="I263"/>
  <c r="I262" s="1"/>
  <c r="I261" s="1"/>
  <c r="H262"/>
  <c r="H261" s="1"/>
  <c r="G262"/>
  <c r="G261" s="1"/>
  <c r="F262"/>
  <c r="F261" s="1"/>
  <c r="E262"/>
  <c r="E261" s="1"/>
  <c r="D262"/>
  <c r="D261" s="1"/>
  <c r="I259"/>
  <c r="I258" s="1"/>
  <c r="H258"/>
  <c r="G258"/>
  <c r="F258"/>
  <c r="E258"/>
  <c r="D258"/>
  <c r="I257"/>
  <c r="I256" s="1"/>
  <c r="H256"/>
  <c r="G256"/>
  <c r="F256"/>
  <c r="E256"/>
  <c r="D256"/>
  <c r="I255"/>
  <c r="I254" s="1"/>
  <c r="H254"/>
  <c r="G254"/>
  <c r="F254"/>
  <c r="E254"/>
  <c r="D254"/>
  <c r="I253"/>
  <c r="I252" s="1"/>
  <c r="H252"/>
  <c r="G252"/>
  <c r="F252"/>
  <c r="F237" s="1"/>
  <c r="E252"/>
  <c r="D252"/>
  <c r="D237" s="1"/>
  <c r="I250"/>
  <c r="I249"/>
  <c r="I248"/>
  <c r="I247"/>
  <c r="I246"/>
  <c r="I245"/>
  <c r="I244"/>
  <c r="I243"/>
  <c r="I242"/>
  <c r="I241"/>
  <c r="I240"/>
  <c r="I239"/>
  <c r="I235"/>
  <c r="I234" s="1"/>
  <c r="H234"/>
  <c r="G234"/>
  <c r="F234"/>
  <c r="E234"/>
  <c r="D234"/>
  <c r="I233"/>
  <c r="G229"/>
  <c r="F229"/>
  <c r="E229"/>
  <c r="D229"/>
  <c r="H229"/>
  <c r="I227"/>
  <c r="I226" s="1"/>
  <c r="H226"/>
  <c r="G226"/>
  <c r="F226"/>
  <c r="E226"/>
  <c r="D226"/>
  <c r="I225"/>
  <c r="I224"/>
  <c r="I223"/>
  <c r="H222"/>
  <c r="H221" s="1"/>
  <c r="H220" s="1"/>
  <c r="G222"/>
  <c r="G221" s="1"/>
  <c r="G220" s="1"/>
  <c r="F222"/>
  <c r="F221" s="1"/>
  <c r="F220" s="1"/>
  <c r="E222"/>
  <c r="E221" s="1"/>
  <c r="E220" s="1"/>
  <c r="D222"/>
  <c r="D221" s="1"/>
  <c r="D220" s="1"/>
  <c r="I218"/>
  <c r="H216"/>
  <c r="F216"/>
  <c r="D216"/>
  <c r="G216"/>
  <c r="E216"/>
  <c r="I214"/>
  <c r="I213"/>
  <c r="I212"/>
  <c r="I211"/>
  <c r="I210"/>
  <c r="I209"/>
  <c r="I207"/>
  <c r="G206"/>
  <c r="F206"/>
  <c r="E206"/>
  <c r="D206"/>
  <c r="I205"/>
  <c r="I204"/>
  <c r="I203"/>
  <c r="I202"/>
  <c r="I201"/>
  <c r="H200"/>
  <c r="G200"/>
  <c r="F200"/>
  <c r="E200"/>
  <c r="D200"/>
  <c r="I199"/>
  <c r="I198"/>
  <c r="I197"/>
  <c r="H196"/>
  <c r="G196"/>
  <c r="F196"/>
  <c r="E196"/>
  <c r="D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H155"/>
  <c r="G155"/>
  <c r="F155"/>
  <c r="E155"/>
  <c r="D155"/>
  <c r="I152"/>
  <c r="I151"/>
  <c r="I150"/>
  <c r="I149"/>
  <c r="H148"/>
  <c r="H147" s="1"/>
  <c r="G148"/>
  <c r="F148"/>
  <c r="F147" s="1"/>
  <c r="E148"/>
  <c r="E147" s="1"/>
  <c r="D148"/>
  <c r="D147" s="1"/>
  <c r="G147"/>
  <c r="I145"/>
  <c r="I144"/>
  <c r="I143"/>
  <c r="I142"/>
  <c r="I141"/>
  <c r="I140"/>
  <c r="I139"/>
  <c r="I138"/>
  <c r="I137"/>
  <c r="G136"/>
  <c r="F136"/>
  <c r="E136"/>
  <c r="D136"/>
  <c r="I135"/>
  <c r="I134" s="1"/>
  <c r="H134"/>
  <c r="G134"/>
  <c r="F134"/>
  <c r="E134"/>
  <c r="D134"/>
  <c r="I133"/>
  <c r="I132" s="1"/>
  <c r="H132"/>
  <c r="G132"/>
  <c r="F132"/>
  <c r="E132"/>
  <c r="D132"/>
  <c r="I131"/>
  <c r="I130"/>
  <c r="I129"/>
  <c r="G128"/>
  <c r="F128"/>
  <c r="E128"/>
  <c r="D128"/>
  <c r="I127"/>
  <c r="I125"/>
  <c r="I124"/>
  <c r="I123"/>
  <c r="I122"/>
  <c r="I121"/>
  <c r="I120"/>
  <c r="I119"/>
  <c r="I118"/>
  <c r="I117"/>
  <c r="I116"/>
  <c r="I115"/>
  <c r="I114"/>
  <c r="G113"/>
  <c r="F113"/>
  <c r="E113"/>
  <c r="D113"/>
  <c r="I109"/>
  <c r="I108" s="1"/>
  <c r="H108"/>
  <c r="G108"/>
  <c r="F108"/>
  <c r="E108"/>
  <c r="D108"/>
  <c r="I106"/>
  <c r="I105" s="1"/>
  <c r="H106"/>
  <c r="H105" s="1"/>
  <c r="G106"/>
  <c r="G105" s="1"/>
  <c r="F106"/>
  <c r="F105" s="1"/>
  <c r="E106"/>
  <c r="E105" s="1"/>
  <c r="D106"/>
  <c r="D105" s="1"/>
  <c r="I86"/>
  <c r="I85"/>
  <c r="I84"/>
  <c r="I83"/>
  <c r="I82"/>
  <c r="I81"/>
  <c r="H80"/>
  <c r="G80"/>
  <c r="F80"/>
  <c r="E80"/>
  <c r="D80"/>
  <c r="I79"/>
  <c r="I78"/>
  <c r="I77"/>
  <c r="H76"/>
  <c r="G76"/>
  <c r="F76"/>
  <c r="E76"/>
  <c r="D76"/>
  <c r="I75"/>
  <c r="I74"/>
  <c r="I73"/>
  <c r="H72"/>
  <c r="G72"/>
  <c r="F72"/>
  <c r="E72"/>
  <c r="D72"/>
  <c r="I71"/>
  <c r="I70"/>
  <c r="I69"/>
  <c r="I68"/>
  <c r="I67"/>
  <c r="I66"/>
  <c r="I65"/>
  <c r="I64"/>
  <c r="I63"/>
  <c r="I62"/>
  <c r="I61"/>
  <c r="I60"/>
  <c r="H59"/>
  <c r="G59"/>
  <c r="F59"/>
  <c r="E59"/>
  <c r="D59"/>
  <c r="I58"/>
  <c r="I57"/>
  <c r="I56"/>
  <c r="I55"/>
  <c r="I54"/>
  <c r="H53"/>
  <c r="G53"/>
  <c r="F53"/>
  <c r="E53"/>
  <c r="D53"/>
  <c r="I51"/>
  <c r="I50"/>
  <c r="I49"/>
  <c r="I48"/>
  <c r="I47"/>
  <c r="I46"/>
  <c r="I45"/>
  <c r="I44"/>
  <c r="I43"/>
  <c r="I42"/>
  <c r="I41"/>
  <c r="I40"/>
  <c r="I39"/>
  <c r="I38"/>
  <c r="I37"/>
  <c r="I36"/>
  <c r="I35"/>
  <c r="I34"/>
  <c r="I33"/>
  <c r="I31"/>
  <c r="I30"/>
  <c r="H29"/>
  <c r="G29"/>
  <c r="F29"/>
  <c r="E29"/>
  <c r="D29"/>
  <c r="I27"/>
  <c r="I26" s="1"/>
  <c r="I25" s="1"/>
  <c r="H26"/>
  <c r="H25" s="1"/>
  <c r="G26"/>
  <c r="G25" s="1"/>
  <c r="F26"/>
  <c r="F25" s="1"/>
  <c r="E26"/>
  <c r="E25" s="1"/>
  <c r="D26"/>
  <c r="D25" s="1"/>
  <c r="I24"/>
  <c r="I23" s="1"/>
  <c r="H23"/>
  <c r="G23"/>
  <c r="F23"/>
  <c r="E23"/>
  <c r="D23"/>
  <c r="I22"/>
  <c r="I21"/>
  <c r="I20"/>
  <c r="H19"/>
  <c r="G19"/>
  <c r="G18" s="1"/>
  <c r="F19"/>
  <c r="F18" s="1"/>
  <c r="E19"/>
  <c r="D19"/>
  <c r="I16"/>
  <c r="I15" s="1"/>
  <c r="I14" s="1"/>
  <c r="H15"/>
  <c r="H14" s="1"/>
  <c r="G15"/>
  <c r="G14" s="1"/>
  <c r="F15"/>
  <c r="F14" s="1"/>
  <c r="E15"/>
  <c r="E14" s="1"/>
  <c r="D15"/>
  <c r="D14" s="1"/>
  <c r="V48" i="1"/>
  <c r="I171" i="21"/>
  <c r="J171"/>
  <c r="K171"/>
  <c r="L171"/>
  <c r="M171"/>
  <c r="N171"/>
  <c r="O171"/>
  <c r="P171"/>
  <c r="Q171"/>
  <c r="R171"/>
  <c r="S171"/>
  <c r="T171"/>
  <c r="U171"/>
  <c r="V171"/>
  <c r="W171"/>
  <c r="X171"/>
  <c r="Y171"/>
  <c r="Z171"/>
  <c r="AA171"/>
  <c r="AB171"/>
  <c r="AC171"/>
  <c r="AD171"/>
  <c r="AE171"/>
  <c r="AH171"/>
  <c r="AI171"/>
  <c r="AJ171"/>
  <c r="AK171"/>
  <c r="AG172"/>
  <c r="AG171" s="1"/>
  <c r="AF172"/>
  <c r="AF171" s="1"/>
  <c r="H171"/>
  <c r="I126"/>
  <c r="J126"/>
  <c r="J125" s="1"/>
  <c r="K126"/>
  <c r="K125" s="1"/>
  <c r="L126"/>
  <c r="L125" s="1"/>
  <c r="M126"/>
  <c r="N126"/>
  <c r="N125" s="1"/>
  <c r="O126"/>
  <c r="O125" s="1"/>
  <c r="P126"/>
  <c r="P125" s="1"/>
  <c r="Q126"/>
  <c r="Q125" s="1"/>
  <c r="R126"/>
  <c r="R125" s="1"/>
  <c r="S126"/>
  <c r="S125" s="1"/>
  <c r="T126"/>
  <c r="U126"/>
  <c r="V126"/>
  <c r="V125" s="1"/>
  <c r="W126"/>
  <c r="W125" s="1"/>
  <c r="X126"/>
  <c r="X125" s="1"/>
  <c r="Y126"/>
  <c r="Z126"/>
  <c r="Z125" s="1"/>
  <c r="AA126"/>
  <c r="AA125" s="1"/>
  <c r="AB126"/>
  <c r="AB125" s="1"/>
  <c r="AC126"/>
  <c r="AC125" s="1"/>
  <c r="AD126"/>
  <c r="AD125" s="1"/>
  <c r="AE126"/>
  <c r="AE125" s="1"/>
  <c r="AH126"/>
  <c r="AH125" s="1"/>
  <c r="AI126"/>
  <c r="AI125" s="1"/>
  <c r="AJ126"/>
  <c r="AJ125" s="1"/>
  <c r="AK126"/>
  <c r="AK125" s="1"/>
  <c r="H126"/>
  <c r="H125" s="1"/>
  <c r="AG127"/>
  <c r="AG126" s="1"/>
  <c r="AG125" s="1"/>
  <c r="AF127"/>
  <c r="AF126" s="1"/>
  <c r="AF125" s="1"/>
  <c r="I104"/>
  <c r="J104"/>
  <c r="K104"/>
  <c r="L104"/>
  <c r="M104"/>
  <c r="N104"/>
  <c r="O104"/>
  <c r="P104"/>
  <c r="Q104"/>
  <c r="R104"/>
  <c r="S104"/>
  <c r="T104"/>
  <c r="U104"/>
  <c r="V104"/>
  <c r="W104"/>
  <c r="X104"/>
  <c r="Y104"/>
  <c r="Z104"/>
  <c r="AA104"/>
  <c r="AB104"/>
  <c r="AC104"/>
  <c r="AD104"/>
  <c r="AE104"/>
  <c r="AH104"/>
  <c r="AI104"/>
  <c r="AJ104"/>
  <c r="AK104"/>
  <c r="H104"/>
  <c r="I12"/>
  <c r="K12"/>
  <c r="L12"/>
  <c r="M12"/>
  <c r="N12"/>
  <c r="O12"/>
  <c r="P12"/>
  <c r="Q12"/>
  <c r="S12"/>
  <c r="T12"/>
  <c r="U12"/>
  <c r="V12"/>
  <c r="W12"/>
  <c r="X12"/>
  <c r="Y12"/>
  <c r="Z12"/>
  <c r="AA12"/>
  <c r="AB12"/>
  <c r="AN6" s="1"/>
  <c r="AC12"/>
  <c r="AD12"/>
  <c r="AH12"/>
  <c r="AI12"/>
  <c r="AJ12"/>
  <c r="AK12"/>
  <c r="H12"/>
  <c r="AF14"/>
  <c r="AG14"/>
  <c r="AF15"/>
  <c r="AG15"/>
  <c r="AF16"/>
  <c r="AG16"/>
  <c r="AF17"/>
  <c r="AG17"/>
  <c r="AF18"/>
  <c r="AG18"/>
  <c r="AF19"/>
  <c r="AG19"/>
  <c r="AF20"/>
  <c r="AG20"/>
  <c r="AF36"/>
  <c r="AG36"/>
  <c r="AF37"/>
  <c r="AG37"/>
  <c r="AF38"/>
  <c r="AG38"/>
  <c r="AF39"/>
  <c r="AG39"/>
  <c r="AF40"/>
  <c r="AG40"/>
  <c r="AF42"/>
  <c r="AG42"/>
  <c r="AF43"/>
  <c r="AG43"/>
  <c r="AF44"/>
  <c r="AG44"/>
  <c r="AF45"/>
  <c r="AG45"/>
  <c r="AF46"/>
  <c r="AG46"/>
  <c r="AF47"/>
  <c r="AG47"/>
  <c r="AF48"/>
  <c r="AG48"/>
  <c r="AF49"/>
  <c r="AG49"/>
  <c r="AF50"/>
  <c r="AG50"/>
  <c r="AF51"/>
  <c r="AG51"/>
  <c r="AF54"/>
  <c r="AG54"/>
  <c r="AF55"/>
  <c r="AG55"/>
  <c r="AF58"/>
  <c r="AG58"/>
  <c r="AF59"/>
  <c r="AG59"/>
  <c r="AF61"/>
  <c r="AF60" s="1"/>
  <c r="AG61"/>
  <c r="AG60" s="1"/>
  <c r="AF64"/>
  <c r="AF63" s="1"/>
  <c r="AG64"/>
  <c r="AG63" s="1"/>
  <c r="AF66"/>
  <c r="AF65" s="1"/>
  <c r="AG66"/>
  <c r="AG65" s="1"/>
  <c r="AF69"/>
  <c r="AG69"/>
  <c r="AF71"/>
  <c r="AF70" s="1"/>
  <c r="AG71"/>
  <c r="AG70" s="1"/>
  <c r="AF73"/>
  <c r="AF72" s="1"/>
  <c r="AG73"/>
  <c r="AG72" s="1"/>
  <c r="AF75"/>
  <c r="AG75"/>
  <c r="AF77"/>
  <c r="AG77"/>
  <c r="AF78"/>
  <c r="AG78"/>
  <c r="AF79"/>
  <c r="AG79"/>
  <c r="AF80"/>
  <c r="AG80"/>
  <c r="AF81"/>
  <c r="AG81"/>
  <c r="AF82"/>
  <c r="AG82"/>
  <c r="AF83"/>
  <c r="AG83"/>
  <c r="AF84"/>
  <c r="AG84"/>
  <c r="AF85"/>
  <c r="AG85"/>
  <c r="AF86"/>
  <c r="AG86"/>
  <c r="AF87"/>
  <c r="AG87"/>
  <c r="AF89"/>
  <c r="AG89"/>
  <c r="AF91"/>
  <c r="AG91"/>
  <c r="AF92"/>
  <c r="AG92"/>
  <c r="AF93"/>
  <c r="AG93"/>
  <c r="AF94"/>
  <c r="AG94"/>
  <c r="AF95"/>
  <c r="AG95"/>
  <c r="AF96"/>
  <c r="AG96"/>
  <c r="AF98"/>
  <c r="AF97" s="1"/>
  <c r="AG98"/>
  <c r="AG97" s="1"/>
  <c r="AF100"/>
  <c r="AG100"/>
  <c r="AF101"/>
  <c r="AG101"/>
  <c r="AF102"/>
  <c r="AG102"/>
  <c r="AF103"/>
  <c r="AG103"/>
  <c r="AF105"/>
  <c r="AG105"/>
  <c r="AF106"/>
  <c r="AG106"/>
  <c r="AF107"/>
  <c r="AG107"/>
  <c r="AF108"/>
  <c r="AG108"/>
  <c r="AF109"/>
  <c r="AG109"/>
  <c r="AF111"/>
  <c r="AG111"/>
  <c r="AF113"/>
  <c r="AF112" s="1"/>
  <c r="AG113"/>
  <c r="AG112" s="1"/>
  <c r="AF115"/>
  <c r="AF114" s="1"/>
  <c r="AG115"/>
  <c r="AG114" s="1"/>
  <c r="AF117"/>
  <c r="AG117"/>
  <c r="AF119"/>
  <c r="AG119"/>
  <c r="AF120"/>
  <c r="AG120"/>
  <c r="AF122"/>
  <c r="AF121" s="1"/>
  <c r="AG122"/>
  <c r="AG121" s="1"/>
  <c r="AF124"/>
  <c r="AF123" s="1"/>
  <c r="AG124"/>
  <c r="AG123" s="1"/>
  <c r="AF130"/>
  <c r="AF129" s="1"/>
  <c r="AF128" s="1"/>
  <c r="AG130"/>
  <c r="AG129" s="1"/>
  <c r="AG128" s="1"/>
  <c r="AF131"/>
  <c r="AG131"/>
  <c r="AF135"/>
  <c r="AF134" s="1"/>
  <c r="AG135"/>
  <c r="AG134" s="1"/>
  <c r="AF137"/>
  <c r="AG137"/>
  <c r="AF138"/>
  <c r="AG138"/>
  <c r="AF139"/>
  <c r="AG139"/>
  <c r="AF140"/>
  <c r="AG140"/>
  <c r="AF141"/>
  <c r="AG141"/>
  <c r="AF142"/>
  <c r="AG142"/>
  <c r="AF145"/>
  <c r="AF144" s="1"/>
  <c r="AG145"/>
  <c r="AG144" s="1"/>
  <c r="AF147"/>
  <c r="AG147"/>
  <c r="AF148"/>
  <c r="AG148"/>
  <c r="AF150"/>
  <c r="AG150"/>
  <c r="AF151"/>
  <c r="AG151"/>
  <c r="AF153"/>
  <c r="AG153"/>
  <c r="AF154"/>
  <c r="AG154"/>
  <c r="AF155"/>
  <c r="AG155"/>
  <c r="AF156"/>
  <c r="AG156"/>
  <c r="AF157"/>
  <c r="AG157"/>
  <c r="AF158"/>
  <c r="AG158"/>
  <c r="AF161"/>
  <c r="AF160" s="1"/>
  <c r="AF159" s="1"/>
  <c r="AG161"/>
  <c r="AG160" s="1"/>
  <c r="AG159" s="1"/>
  <c r="AF164"/>
  <c r="AF163" s="1"/>
  <c r="AF162" s="1"/>
  <c r="AG164"/>
  <c r="AG163" s="1"/>
  <c r="AG162" s="1"/>
  <c r="AF165"/>
  <c r="AG165"/>
  <c r="AF166"/>
  <c r="AG166"/>
  <c r="AF167"/>
  <c r="AG167"/>
  <c r="AF170"/>
  <c r="AF169" s="1"/>
  <c r="AF168" s="1"/>
  <c r="AG170"/>
  <c r="AG169" s="1"/>
  <c r="AG168" s="1"/>
  <c r="AF175"/>
  <c r="AG175"/>
  <c r="AF176"/>
  <c r="AG176"/>
  <c r="AF177"/>
  <c r="AG177"/>
  <c r="AF178"/>
  <c r="AG178"/>
  <c r="AF180"/>
  <c r="AG180"/>
  <c r="AF181"/>
  <c r="AG181"/>
  <c r="AF182"/>
  <c r="AG182"/>
  <c r="AF185"/>
  <c r="AF184" s="1"/>
  <c r="AG185"/>
  <c r="AG184" s="1"/>
  <c r="AF187"/>
  <c r="AF186" s="1"/>
  <c r="AG187"/>
  <c r="AG186" s="1"/>
  <c r="AF189"/>
  <c r="AG189"/>
  <c r="AF190"/>
  <c r="AG190"/>
  <c r="AF192"/>
  <c r="AF191" s="1"/>
  <c r="AG192"/>
  <c r="AG191" s="1"/>
  <c r="AF193"/>
  <c r="AG193"/>
  <c r="AF196"/>
  <c r="AG196"/>
  <c r="AF197"/>
  <c r="AG197"/>
  <c r="AF198"/>
  <c r="AG198"/>
  <c r="AF199"/>
  <c r="AG199"/>
  <c r="AF201"/>
  <c r="AG201"/>
  <c r="AF202"/>
  <c r="AG202"/>
  <c r="AF203"/>
  <c r="AG203"/>
  <c r="AF204"/>
  <c r="AG204"/>
  <c r="AF208"/>
  <c r="AG208"/>
  <c r="AF209"/>
  <c r="AG209"/>
  <c r="AF210"/>
  <c r="AG210"/>
  <c r="AF211"/>
  <c r="AG211"/>
  <c r="AF213"/>
  <c r="AF212" s="1"/>
  <c r="AG213"/>
  <c r="AG212" s="1"/>
  <c r="AF215"/>
  <c r="AG215"/>
  <c r="AF216"/>
  <c r="AG216"/>
  <c r="AF218"/>
  <c r="AG218"/>
  <c r="AF220"/>
  <c r="AG220"/>
  <c r="AF221"/>
  <c r="AG221"/>
  <c r="AF222"/>
  <c r="AG222"/>
  <c r="AF225"/>
  <c r="AG225"/>
  <c r="AF226"/>
  <c r="AG226"/>
  <c r="AF227"/>
  <c r="AG227"/>
  <c r="AF229"/>
  <c r="AF228" s="1"/>
  <c r="AG229"/>
  <c r="AG228" s="1"/>
  <c r="AF232"/>
  <c r="AF231" s="1"/>
  <c r="AF230" s="1"/>
  <c r="AG232"/>
  <c r="AG231" s="1"/>
  <c r="AG230" s="1"/>
  <c r="AG13"/>
  <c r="AF13"/>
  <c r="AK231"/>
  <c r="AK230" s="1"/>
  <c r="AJ231"/>
  <c r="AJ230" s="1"/>
  <c r="AI231"/>
  <c r="AI230" s="1"/>
  <c r="AH231"/>
  <c r="AH230" s="1"/>
  <c r="AK228"/>
  <c r="AJ228"/>
  <c r="AI228"/>
  <c r="AH228"/>
  <c r="AK224"/>
  <c r="AJ224"/>
  <c r="AI224"/>
  <c r="AH224"/>
  <c r="AK219"/>
  <c r="AK217" s="1"/>
  <c r="AJ219"/>
  <c r="AJ217" s="1"/>
  <c r="AI219"/>
  <c r="AI217" s="1"/>
  <c r="AH219"/>
  <c r="AH217" s="1"/>
  <c r="AK214"/>
  <c r="AJ214"/>
  <c r="AI214"/>
  <c r="AH214"/>
  <c r="AK212"/>
  <c r="AJ212"/>
  <c r="AI212"/>
  <c r="AH212"/>
  <c r="AK207"/>
  <c r="AJ207"/>
  <c r="AI207"/>
  <c r="AH207"/>
  <c r="AK200"/>
  <c r="AJ200"/>
  <c r="AI200"/>
  <c r="AH200"/>
  <c r="AK195"/>
  <c r="AJ195"/>
  <c r="AI195"/>
  <c r="AH195"/>
  <c r="AK191"/>
  <c r="AJ191"/>
  <c r="AI191"/>
  <c r="AH191"/>
  <c r="AK188"/>
  <c r="AJ188"/>
  <c r="AI188"/>
  <c r="AH188"/>
  <c r="AK186"/>
  <c r="AJ186"/>
  <c r="AI186"/>
  <c r="AH186"/>
  <c r="AK184"/>
  <c r="AJ184"/>
  <c r="AI184"/>
  <c r="AH184"/>
  <c r="AK179"/>
  <c r="AJ179"/>
  <c r="AI179"/>
  <c r="AH179"/>
  <c r="AK174"/>
  <c r="AJ174"/>
  <c r="AI174"/>
  <c r="AH174"/>
  <c r="AK169"/>
  <c r="AK168" s="1"/>
  <c r="AJ169"/>
  <c r="AJ168" s="1"/>
  <c r="AI169"/>
  <c r="AI168" s="1"/>
  <c r="AH169"/>
  <c r="AH168" s="1"/>
  <c r="AK163"/>
  <c r="AK162" s="1"/>
  <c r="AJ163"/>
  <c r="AJ162" s="1"/>
  <c r="AI163"/>
  <c r="AI162" s="1"/>
  <c r="AH163"/>
  <c r="AH162" s="1"/>
  <c r="AK160"/>
  <c r="AK159" s="1"/>
  <c r="AJ160"/>
  <c r="AJ159" s="1"/>
  <c r="AI160"/>
  <c r="AI159" s="1"/>
  <c r="AH160"/>
  <c r="AH159" s="1"/>
  <c r="AK152"/>
  <c r="AJ152"/>
  <c r="AI152"/>
  <c r="AH152"/>
  <c r="AK149"/>
  <c r="AJ149"/>
  <c r="AI149"/>
  <c r="AH149"/>
  <c r="AK146"/>
  <c r="AJ146"/>
  <c r="AI146"/>
  <c r="AH146"/>
  <c r="AK144"/>
  <c r="AJ144"/>
  <c r="AI144"/>
  <c r="AH144"/>
  <c r="AK136"/>
  <c r="AJ136"/>
  <c r="AI136"/>
  <c r="AH136"/>
  <c r="AK134"/>
  <c r="AJ134"/>
  <c r="AI134"/>
  <c r="AH134"/>
  <c r="AK129"/>
  <c r="AK128" s="1"/>
  <c r="AJ129"/>
  <c r="AJ128" s="1"/>
  <c r="AI129"/>
  <c r="AI128" s="1"/>
  <c r="AH129"/>
  <c r="AH128" s="1"/>
  <c r="AK123"/>
  <c r="AJ123"/>
  <c r="AI123"/>
  <c r="AH123"/>
  <c r="AK121"/>
  <c r="AJ121"/>
  <c r="AI121"/>
  <c r="AH121"/>
  <c r="AK118"/>
  <c r="AJ118"/>
  <c r="AI118"/>
  <c r="AH118"/>
  <c r="AK114"/>
  <c r="AJ114"/>
  <c r="AI114"/>
  <c r="AH114"/>
  <c r="AK112"/>
  <c r="AJ112"/>
  <c r="AI112"/>
  <c r="AH112"/>
  <c r="AK99"/>
  <c r="AJ99"/>
  <c r="AI99"/>
  <c r="AH99"/>
  <c r="AK97"/>
  <c r="AJ97"/>
  <c r="AI97"/>
  <c r="AH97"/>
  <c r="AK90"/>
  <c r="AJ90"/>
  <c r="AI90"/>
  <c r="AH90"/>
  <c r="AK76"/>
  <c r="AK74" s="1"/>
  <c r="AJ76"/>
  <c r="AJ74" s="1"/>
  <c r="AI76"/>
  <c r="AI74" s="1"/>
  <c r="AH76"/>
  <c r="AH74" s="1"/>
  <c r="AK72"/>
  <c r="AJ72"/>
  <c r="AI72"/>
  <c r="AH72"/>
  <c r="AK70"/>
  <c r="AJ70"/>
  <c r="AI70"/>
  <c r="AH70"/>
  <c r="AK65"/>
  <c r="AJ65"/>
  <c r="AI65"/>
  <c r="AH65"/>
  <c r="AK63"/>
  <c r="AJ63"/>
  <c r="AI63"/>
  <c r="AH63"/>
  <c r="AK60"/>
  <c r="AJ60"/>
  <c r="AI60"/>
  <c r="AH60"/>
  <c r="AK57"/>
  <c r="AJ57"/>
  <c r="AI57"/>
  <c r="AH57"/>
  <c r="AH53"/>
  <c r="AK41"/>
  <c r="AJ41"/>
  <c r="AI41"/>
  <c r="AH41"/>
  <c r="AK35"/>
  <c r="AJ35"/>
  <c r="AI35"/>
  <c r="AH35"/>
  <c r="J27" i="1"/>
  <c r="K27"/>
  <c r="L27"/>
  <c r="M27"/>
  <c r="O27"/>
  <c r="P27"/>
  <c r="Q27"/>
  <c r="R27"/>
  <c r="S27"/>
  <c r="V27"/>
  <c r="I27"/>
  <c r="U35"/>
  <c r="U36"/>
  <c r="U37"/>
  <c r="U38"/>
  <c r="U39"/>
  <c r="U40"/>
  <c r="U41"/>
  <c r="U42"/>
  <c r="U43"/>
  <c r="U44"/>
  <c r="U45"/>
  <c r="AM232" i="21"/>
  <c r="AE231"/>
  <c r="AE230" s="1"/>
  <c r="AD231"/>
  <c r="AD230" s="1"/>
  <c r="AC231"/>
  <c r="AC230" s="1"/>
  <c r="AB231"/>
  <c r="AB230" s="1"/>
  <c r="AA231"/>
  <c r="AA230" s="1"/>
  <c r="Z231"/>
  <c r="Z230" s="1"/>
  <c r="Y231"/>
  <c r="Y230" s="1"/>
  <c r="X231"/>
  <c r="X230" s="1"/>
  <c r="W231"/>
  <c r="W230" s="1"/>
  <c r="V231"/>
  <c r="V230" s="1"/>
  <c r="U231"/>
  <c r="U230" s="1"/>
  <c r="T231"/>
  <c r="S231"/>
  <c r="S230" s="1"/>
  <c r="R231"/>
  <c r="R230" s="1"/>
  <c r="Q231"/>
  <c r="Q230" s="1"/>
  <c r="P231"/>
  <c r="P230" s="1"/>
  <c r="O231"/>
  <c r="O230" s="1"/>
  <c r="N231"/>
  <c r="N230" s="1"/>
  <c r="M231"/>
  <c r="M230" s="1"/>
  <c r="L231"/>
  <c r="L230" s="1"/>
  <c r="K231"/>
  <c r="K230" s="1"/>
  <c r="J231"/>
  <c r="J230" s="1"/>
  <c r="I231"/>
  <c r="I230" s="1"/>
  <c r="H231"/>
  <c r="H230" s="1"/>
  <c r="AM229"/>
  <c r="AE228"/>
  <c r="AD228"/>
  <c r="AC228"/>
  <c r="AB228"/>
  <c r="AA228"/>
  <c r="Z228"/>
  <c r="Y228"/>
  <c r="X228"/>
  <c r="W228"/>
  <c r="V228"/>
  <c r="U228"/>
  <c r="T228"/>
  <c r="S228"/>
  <c r="R228"/>
  <c r="Q228"/>
  <c r="P228"/>
  <c r="O228"/>
  <c r="N228"/>
  <c r="M228"/>
  <c r="L228"/>
  <c r="K228"/>
  <c r="J228"/>
  <c r="I228"/>
  <c r="H228"/>
  <c r="AM227"/>
  <c r="AM226"/>
  <c r="AM225"/>
  <c r="AE224"/>
  <c r="AD224"/>
  <c r="AC224"/>
  <c r="AB224"/>
  <c r="AA224"/>
  <c r="Z224"/>
  <c r="Y224"/>
  <c r="X224"/>
  <c r="W224"/>
  <c r="V224"/>
  <c r="U224"/>
  <c r="T224"/>
  <c r="S224"/>
  <c r="R224"/>
  <c r="Q224"/>
  <c r="P224"/>
  <c r="O224"/>
  <c r="N224"/>
  <c r="M224"/>
  <c r="L224"/>
  <c r="K224"/>
  <c r="J224"/>
  <c r="I224"/>
  <c r="H224"/>
  <c r="AM222"/>
  <c r="AM221"/>
  <c r="AM220"/>
  <c r="AE219"/>
  <c r="AE217" s="1"/>
  <c r="AD219"/>
  <c r="AD217" s="1"/>
  <c r="AC219"/>
  <c r="AC217" s="1"/>
  <c r="AB219"/>
  <c r="AB217" s="1"/>
  <c r="AA219"/>
  <c r="AA217" s="1"/>
  <c r="Z219"/>
  <c r="Z217" s="1"/>
  <c r="Y219"/>
  <c r="Y217" s="1"/>
  <c r="X219"/>
  <c r="X217" s="1"/>
  <c r="W219"/>
  <c r="W217" s="1"/>
  <c r="V219"/>
  <c r="V217" s="1"/>
  <c r="U219"/>
  <c r="U217" s="1"/>
  <c r="T219"/>
  <c r="S219"/>
  <c r="S217" s="1"/>
  <c r="R219"/>
  <c r="R217" s="1"/>
  <c r="Q219"/>
  <c r="Q217" s="1"/>
  <c r="P219"/>
  <c r="P217" s="1"/>
  <c r="O219"/>
  <c r="O217" s="1"/>
  <c r="N219"/>
  <c r="N217" s="1"/>
  <c r="M219"/>
  <c r="M217" s="1"/>
  <c r="L219"/>
  <c r="L217" s="1"/>
  <c r="K219"/>
  <c r="K217" s="1"/>
  <c r="J219"/>
  <c r="J217" s="1"/>
  <c r="I219"/>
  <c r="I217" s="1"/>
  <c r="H219"/>
  <c r="H217" s="1"/>
  <c r="AM218"/>
  <c r="AM216"/>
  <c r="AM215"/>
  <c r="AE214"/>
  <c r="AD214"/>
  <c r="AC214"/>
  <c r="AB214"/>
  <c r="AA214"/>
  <c r="Z214"/>
  <c r="Y214"/>
  <c r="X214"/>
  <c r="W214"/>
  <c r="V214"/>
  <c r="U214"/>
  <c r="T214"/>
  <c r="S214"/>
  <c r="R214"/>
  <c r="Q214"/>
  <c r="P214"/>
  <c r="O214"/>
  <c r="N214"/>
  <c r="M214"/>
  <c r="L214"/>
  <c r="K214"/>
  <c r="J214"/>
  <c r="I214"/>
  <c r="H214"/>
  <c r="AM213"/>
  <c r="AE212"/>
  <c r="AD212"/>
  <c r="AC212"/>
  <c r="AB212"/>
  <c r="AA212"/>
  <c r="Z212"/>
  <c r="Y212"/>
  <c r="X212"/>
  <c r="W212"/>
  <c r="V212"/>
  <c r="U212"/>
  <c r="T212"/>
  <c r="S212"/>
  <c r="R212"/>
  <c r="Q212"/>
  <c r="P212"/>
  <c r="O212"/>
  <c r="N212"/>
  <c r="M212"/>
  <c r="L212"/>
  <c r="K212"/>
  <c r="J212"/>
  <c r="I212"/>
  <c r="H212"/>
  <c r="AM211"/>
  <c r="AM210"/>
  <c r="AM208"/>
  <c r="AE207"/>
  <c r="AD207"/>
  <c r="AC207"/>
  <c r="AB207"/>
  <c r="AA207"/>
  <c r="Z207"/>
  <c r="Y207"/>
  <c r="X207"/>
  <c r="W207"/>
  <c r="V207"/>
  <c r="U207"/>
  <c r="T207"/>
  <c r="S207"/>
  <c r="R207"/>
  <c r="Q207"/>
  <c r="P207"/>
  <c r="O207"/>
  <c r="N207"/>
  <c r="M207"/>
  <c r="L207"/>
  <c r="K207"/>
  <c r="J207"/>
  <c r="I207"/>
  <c r="H207"/>
  <c r="AM204"/>
  <c r="AM203"/>
  <c r="AM202"/>
  <c r="AM201"/>
  <c r="AE200"/>
  <c r="AD200"/>
  <c r="AC200"/>
  <c r="AB200"/>
  <c r="AA200"/>
  <c r="Z200"/>
  <c r="Y200"/>
  <c r="X200"/>
  <c r="W200"/>
  <c r="V200"/>
  <c r="U200"/>
  <c r="T200"/>
  <c r="S200"/>
  <c r="R200"/>
  <c r="Q200"/>
  <c r="P200"/>
  <c r="O200"/>
  <c r="N200"/>
  <c r="M200"/>
  <c r="L200"/>
  <c r="K200"/>
  <c r="J200"/>
  <c r="I200"/>
  <c r="H200"/>
  <c r="AM199"/>
  <c r="AM198"/>
  <c r="AM197"/>
  <c r="AM196"/>
  <c r="AE195"/>
  <c r="AD195"/>
  <c r="AC195"/>
  <c r="AB195"/>
  <c r="AA195"/>
  <c r="Z195"/>
  <c r="Y195"/>
  <c r="X195"/>
  <c r="W195"/>
  <c r="V195"/>
  <c r="U195"/>
  <c r="T195"/>
  <c r="S195"/>
  <c r="R195"/>
  <c r="Q195"/>
  <c r="P195"/>
  <c r="O195"/>
  <c r="N195"/>
  <c r="M195"/>
  <c r="L195"/>
  <c r="K195"/>
  <c r="J195"/>
  <c r="I195"/>
  <c r="H195"/>
  <c r="AM193"/>
  <c r="AM192"/>
  <c r="AE191"/>
  <c r="AD191"/>
  <c r="AC191"/>
  <c r="AB191"/>
  <c r="AA191"/>
  <c r="Z191"/>
  <c r="Y191"/>
  <c r="X191"/>
  <c r="W191"/>
  <c r="V191"/>
  <c r="U191"/>
  <c r="T191"/>
  <c r="S191"/>
  <c r="R191"/>
  <c r="Q191"/>
  <c r="P191"/>
  <c r="O191"/>
  <c r="N191"/>
  <c r="M191"/>
  <c r="L191"/>
  <c r="K191"/>
  <c r="J191"/>
  <c r="I191"/>
  <c r="H191"/>
  <c r="AM190"/>
  <c r="AM189"/>
  <c r="AE188"/>
  <c r="AD188"/>
  <c r="AC188"/>
  <c r="AB188"/>
  <c r="AA188"/>
  <c r="Z188"/>
  <c r="Y188"/>
  <c r="X188"/>
  <c r="W188"/>
  <c r="V188"/>
  <c r="U188"/>
  <c r="T188"/>
  <c r="S188"/>
  <c r="R188"/>
  <c r="Q188"/>
  <c r="P188"/>
  <c r="O188"/>
  <c r="N188"/>
  <c r="M188"/>
  <c r="L188"/>
  <c r="K188"/>
  <c r="J188"/>
  <c r="I188"/>
  <c r="H188"/>
  <c r="AM187"/>
  <c r="AE186"/>
  <c r="AD186"/>
  <c r="AC186"/>
  <c r="AB186"/>
  <c r="AA186"/>
  <c r="Z186"/>
  <c r="Y186"/>
  <c r="X186"/>
  <c r="W186"/>
  <c r="V186"/>
  <c r="U186"/>
  <c r="T186"/>
  <c r="S186"/>
  <c r="R186"/>
  <c r="Q186"/>
  <c r="P186"/>
  <c r="O186"/>
  <c r="N186"/>
  <c r="M186"/>
  <c r="L186"/>
  <c r="K186"/>
  <c r="J186"/>
  <c r="I186"/>
  <c r="H186"/>
  <c r="AM185"/>
  <c r="AE184"/>
  <c r="AD184"/>
  <c r="AC184"/>
  <c r="AB184"/>
  <c r="AA184"/>
  <c r="Z184"/>
  <c r="Y184"/>
  <c r="X184"/>
  <c r="W184"/>
  <c r="V184"/>
  <c r="U184"/>
  <c r="T184"/>
  <c r="S184"/>
  <c r="R184"/>
  <c r="Q184"/>
  <c r="P184"/>
  <c r="O184"/>
  <c r="N184"/>
  <c r="M184"/>
  <c r="L184"/>
  <c r="K184"/>
  <c r="J184"/>
  <c r="I184"/>
  <c r="H184"/>
  <c r="AM182"/>
  <c r="AM181"/>
  <c r="AM180"/>
  <c r="AE179"/>
  <c r="AD179"/>
  <c r="AC179"/>
  <c r="AB179"/>
  <c r="AA179"/>
  <c r="Z179"/>
  <c r="Y179"/>
  <c r="X179"/>
  <c r="W179"/>
  <c r="V179"/>
  <c r="U179"/>
  <c r="T179"/>
  <c r="S179"/>
  <c r="R179"/>
  <c r="Q179"/>
  <c r="P179"/>
  <c r="O179"/>
  <c r="N179"/>
  <c r="M179"/>
  <c r="L179"/>
  <c r="K179"/>
  <c r="J179"/>
  <c r="I179"/>
  <c r="H179"/>
  <c r="AM178"/>
  <c r="AM177"/>
  <c r="AM176"/>
  <c r="I176"/>
  <c r="I174" s="1"/>
  <c r="AM175"/>
  <c r="AE174"/>
  <c r="AD174"/>
  <c r="AC174"/>
  <c r="AB174"/>
  <c r="AA174"/>
  <c r="Z174"/>
  <c r="Y174"/>
  <c r="X174"/>
  <c r="W174"/>
  <c r="V174"/>
  <c r="U174"/>
  <c r="T174"/>
  <c r="S174"/>
  <c r="R174"/>
  <c r="Q174"/>
  <c r="P174"/>
  <c r="O174"/>
  <c r="N174"/>
  <c r="M174"/>
  <c r="L174"/>
  <c r="K174"/>
  <c r="J174"/>
  <c r="H174"/>
  <c r="AM170"/>
  <c r="AE169"/>
  <c r="AE168" s="1"/>
  <c r="AD169"/>
  <c r="AD168" s="1"/>
  <c r="AC169"/>
  <c r="AC168" s="1"/>
  <c r="AB169"/>
  <c r="AB168" s="1"/>
  <c r="AA169"/>
  <c r="AA168" s="1"/>
  <c r="Z169"/>
  <c r="Z168" s="1"/>
  <c r="Y169"/>
  <c r="Y168" s="1"/>
  <c r="X169"/>
  <c r="X168" s="1"/>
  <c r="W169"/>
  <c r="W168" s="1"/>
  <c r="V169"/>
  <c r="V168" s="1"/>
  <c r="U169"/>
  <c r="U168" s="1"/>
  <c r="T169"/>
  <c r="T168" s="1"/>
  <c r="S169"/>
  <c r="S168" s="1"/>
  <c r="R169"/>
  <c r="R168" s="1"/>
  <c r="Q169"/>
  <c r="Q168" s="1"/>
  <c r="P169"/>
  <c r="P168" s="1"/>
  <c r="O169"/>
  <c r="O168" s="1"/>
  <c r="N169"/>
  <c r="N168" s="1"/>
  <c r="M169"/>
  <c r="M168" s="1"/>
  <c r="L169"/>
  <c r="L168" s="1"/>
  <c r="K169"/>
  <c r="K168" s="1"/>
  <c r="J169"/>
  <c r="J168" s="1"/>
  <c r="I169"/>
  <c r="I168" s="1"/>
  <c r="H169"/>
  <c r="H168" s="1"/>
  <c r="AM167"/>
  <c r="AM166"/>
  <c r="AM165"/>
  <c r="AM164"/>
  <c r="AE163"/>
  <c r="AE162" s="1"/>
  <c r="AD163"/>
  <c r="AD162" s="1"/>
  <c r="AC163"/>
  <c r="AC162" s="1"/>
  <c r="AB163"/>
  <c r="AB162" s="1"/>
  <c r="AA163"/>
  <c r="AA162" s="1"/>
  <c r="Z163"/>
  <c r="Z162" s="1"/>
  <c r="Y163"/>
  <c r="Y162" s="1"/>
  <c r="X163"/>
  <c r="X162" s="1"/>
  <c r="W163"/>
  <c r="W162" s="1"/>
  <c r="V163"/>
  <c r="V162" s="1"/>
  <c r="U163"/>
  <c r="U162" s="1"/>
  <c r="T163"/>
  <c r="S163"/>
  <c r="S162" s="1"/>
  <c r="R163"/>
  <c r="R162" s="1"/>
  <c r="Q163"/>
  <c r="Q162" s="1"/>
  <c r="P163"/>
  <c r="P162" s="1"/>
  <c r="O163"/>
  <c r="O162" s="1"/>
  <c r="N163"/>
  <c r="N162" s="1"/>
  <c r="M163"/>
  <c r="M162" s="1"/>
  <c r="L163"/>
  <c r="L162" s="1"/>
  <c r="K163"/>
  <c r="K162" s="1"/>
  <c r="J163"/>
  <c r="J162" s="1"/>
  <c r="I163"/>
  <c r="I162" s="1"/>
  <c r="H163"/>
  <c r="H162" s="1"/>
  <c r="AM161"/>
  <c r="AE160"/>
  <c r="AE159" s="1"/>
  <c r="AD160"/>
  <c r="AD159" s="1"/>
  <c r="AC160"/>
  <c r="AC159" s="1"/>
  <c r="AB160"/>
  <c r="AA160"/>
  <c r="AA159" s="1"/>
  <c r="Z160"/>
  <c r="Z159" s="1"/>
  <c r="Y160"/>
  <c r="Y159" s="1"/>
  <c r="X160"/>
  <c r="X159" s="1"/>
  <c r="W160"/>
  <c r="W159" s="1"/>
  <c r="V160"/>
  <c r="V159" s="1"/>
  <c r="U160"/>
  <c r="U159" s="1"/>
  <c r="T160"/>
  <c r="S160"/>
  <c r="S159" s="1"/>
  <c r="R160"/>
  <c r="R159" s="1"/>
  <c r="Q160"/>
  <c r="Q159" s="1"/>
  <c r="P160"/>
  <c r="P159" s="1"/>
  <c r="O160"/>
  <c r="O159" s="1"/>
  <c r="N160"/>
  <c r="N159" s="1"/>
  <c r="M160"/>
  <c r="M159" s="1"/>
  <c r="L160"/>
  <c r="L159" s="1"/>
  <c r="K160"/>
  <c r="K159" s="1"/>
  <c r="J160"/>
  <c r="J159" s="1"/>
  <c r="I160"/>
  <c r="I159" s="1"/>
  <c r="H160"/>
  <c r="H159" s="1"/>
  <c r="AM158"/>
  <c r="AM157"/>
  <c r="AM156"/>
  <c r="AM155"/>
  <c r="AM154"/>
  <c r="AM153"/>
  <c r="AE152"/>
  <c r="AD152"/>
  <c r="AC152"/>
  <c r="AB152"/>
  <c r="AA152"/>
  <c r="Z152"/>
  <c r="Y152"/>
  <c r="X152"/>
  <c r="W152"/>
  <c r="V152"/>
  <c r="U152"/>
  <c r="T152"/>
  <c r="S152"/>
  <c r="R152"/>
  <c r="Q152"/>
  <c r="P152"/>
  <c r="O152"/>
  <c r="N152"/>
  <c r="M152"/>
  <c r="L152"/>
  <c r="K152"/>
  <c r="J152"/>
  <c r="I152"/>
  <c r="H152"/>
  <c r="AM151"/>
  <c r="AM150"/>
  <c r="AE149"/>
  <c r="AD149"/>
  <c r="AC149"/>
  <c r="AB149"/>
  <c r="AA149"/>
  <c r="Z149"/>
  <c r="Y149"/>
  <c r="X149"/>
  <c r="W149"/>
  <c r="V149"/>
  <c r="U149"/>
  <c r="T149"/>
  <c r="S149"/>
  <c r="R149"/>
  <c r="Q149"/>
  <c r="P149"/>
  <c r="O149"/>
  <c r="N149"/>
  <c r="M149"/>
  <c r="L149"/>
  <c r="K149"/>
  <c r="J149"/>
  <c r="I149"/>
  <c r="H149"/>
  <c r="AM148"/>
  <c r="AM147"/>
  <c r="AE146"/>
  <c r="AD146"/>
  <c r="AC146"/>
  <c r="AB146"/>
  <c r="AA146"/>
  <c r="Z146"/>
  <c r="Y146"/>
  <c r="X146"/>
  <c r="W146"/>
  <c r="V146"/>
  <c r="U146"/>
  <c r="T146"/>
  <c r="S146"/>
  <c r="R146"/>
  <c r="Q146"/>
  <c r="P146"/>
  <c r="O146"/>
  <c r="N146"/>
  <c r="M146"/>
  <c r="L146"/>
  <c r="K146"/>
  <c r="J146"/>
  <c r="I146"/>
  <c r="H146"/>
  <c r="AM145"/>
  <c r="AE144"/>
  <c r="AD144"/>
  <c r="AC144"/>
  <c r="AB144"/>
  <c r="AA144"/>
  <c r="Z144"/>
  <c r="Y144"/>
  <c r="X144"/>
  <c r="W144"/>
  <c r="V144"/>
  <c r="U144"/>
  <c r="T144"/>
  <c r="S144"/>
  <c r="R144"/>
  <c r="Q144"/>
  <c r="P144"/>
  <c r="O144"/>
  <c r="N144"/>
  <c r="M144"/>
  <c r="L144"/>
  <c r="K144"/>
  <c r="J144"/>
  <c r="I144"/>
  <c r="H144"/>
  <c r="AM142"/>
  <c r="AM141"/>
  <c r="AM140"/>
  <c r="AM139"/>
  <c r="AM138"/>
  <c r="AM137"/>
  <c r="AE136"/>
  <c r="AD136"/>
  <c r="AC136"/>
  <c r="AB136"/>
  <c r="AA136"/>
  <c r="Z136"/>
  <c r="Y136"/>
  <c r="X136"/>
  <c r="W136"/>
  <c r="V136"/>
  <c r="U136"/>
  <c r="T136"/>
  <c r="S136"/>
  <c r="R136"/>
  <c r="Q136"/>
  <c r="P136"/>
  <c r="O136"/>
  <c r="N136"/>
  <c r="M136"/>
  <c r="L136"/>
  <c r="K136"/>
  <c r="J136"/>
  <c r="I136"/>
  <c r="H136"/>
  <c r="AM135"/>
  <c r="AE134"/>
  <c r="AD134"/>
  <c r="AC134"/>
  <c r="AB134"/>
  <c r="AA134"/>
  <c r="Z134"/>
  <c r="Y134"/>
  <c r="X134"/>
  <c r="W134"/>
  <c r="V134"/>
  <c r="U134"/>
  <c r="T134"/>
  <c r="S134"/>
  <c r="R134"/>
  <c r="Q134"/>
  <c r="P134"/>
  <c r="O134"/>
  <c r="N134"/>
  <c r="M134"/>
  <c r="L134"/>
  <c r="K134"/>
  <c r="J134"/>
  <c r="I134"/>
  <c r="H134"/>
  <c r="AM131"/>
  <c r="AM130"/>
  <c r="AE129"/>
  <c r="AE128" s="1"/>
  <c r="AD129"/>
  <c r="AD128" s="1"/>
  <c r="AC129"/>
  <c r="AC128" s="1"/>
  <c r="AB129"/>
  <c r="AB128" s="1"/>
  <c r="AA129"/>
  <c r="AA128" s="1"/>
  <c r="Z129"/>
  <c r="Z128" s="1"/>
  <c r="Y129"/>
  <c r="Y128" s="1"/>
  <c r="X129"/>
  <c r="X128" s="1"/>
  <c r="W129"/>
  <c r="W128" s="1"/>
  <c r="V129"/>
  <c r="V128" s="1"/>
  <c r="U129"/>
  <c r="U128" s="1"/>
  <c r="T129"/>
  <c r="S129"/>
  <c r="S128" s="1"/>
  <c r="R129"/>
  <c r="R128" s="1"/>
  <c r="Q129"/>
  <c r="Q128" s="1"/>
  <c r="P129"/>
  <c r="P128" s="1"/>
  <c r="O129"/>
  <c r="O128" s="1"/>
  <c r="N129"/>
  <c r="N128" s="1"/>
  <c r="M129"/>
  <c r="M128" s="1"/>
  <c r="L129"/>
  <c r="L128" s="1"/>
  <c r="K129"/>
  <c r="K128" s="1"/>
  <c r="J129"/>
  <c r="J128" s="1"/>
  <c r="I129"/>
  <c r="I128" s="1"/>
  <c r="H129"/>
  <c r="H128" s="1"/>
  <c r="Y125"/>
  <c r="U125"/>
  <c r="M125"/>
  <c r="I125"/>
  <c r="AM124"/>
  <c r="AE123"/>
  <c r="AD123"/>
  <c r="AC123"/>
  <c r="AB123"/>
  <c r="AA123"/>
  <c r="Z123"/>
  <c r="Y123"/>
  <c r="X123"/>
  <c r="W123"/>
  <c r="V123"/>
  <c r="U123"/>
  <c r="T123"/>
  <c r="S123"/>
  <c r="R123"/>
  <c r="Q123"/>
  <c r="P123"/>
  <c r="O123"/>
  <c r="N123"/>
  <c r="M123"/>
  <c r="L123"/>
  <c r="K123"/>
  <c r="J123"/>
  <c r="I123"/>
  <c r="H123"/>
  <c r="AM122"/>
  <c r="AE121"/>
  <c r="AD121"/>
  <c r="AC121"/>
  <c r="AB121"/>
  <c r="AA121"/>
  <c r="Z121"/>
  <c r="Y121"/>
  <c r="X121"/>
  <c r="W121"/>
  <c r="V121"/>
  <c r="U121"/>
  <c r="T121"/>
  <c r="S121"/>
  <c r="R121"/>
  <c r="Q121"/>
  <c r="P121"/>
  <c r="O121"/>
  <c r="N121"/>
  <c r="M121"/>
  <c r="L121"/>
  <c r="K121"/>
  <c r="J121"/>
  <c r="I121"/>
  <c r="H121"/>
  <c r="AM120"/>
  <c r="AM119"/>
  <c r="AE118"/>
  <c r="AD118"/>
  <c r="AC118"/>
  <c r="AB118"/>
  <c r="AA118"/>
  <c r="Z118"/>
  <c r="Y118"/>
  <c r="X118"/>
  <c r="W118"/>
  <c r="V118"/>
  <c r="U118"/>
  <c r="T118"/>
  <c r="S118"/>
  <c r="R118"/>
  <c r="Q118"/>
  <c r="P118"/>
  <c r="O118"/>
  <c r="N118"/>
  <c r="M118"/>
  <c r="L118"/>
  <c r="K118"/>
  <c r="J118"/>
  <c r="I118"/>
  <c r="H118"/>
  <c r="AM117"/>
  <c r="AM115"/>
  <c r="AE114"/>
  <c r="AD114"/>
  <c r="AC114"/>
  <c r="AB114"/>
  <c r="AA114"/>
  <c r="Z114"/>
  <c r="Y114"/>
  <c r="X114"/>
  <c r="W114"/>
  <c r="V114"/>
  <c r="U114"/>
  <c r="T114"/>
  <c r="S114"/>
  <c r="R114"/>
  <c r="Q114"/>
  <c r="P114"/>
  <c r="O114"/>
  <c r="N114"/>
  <c r="M114"/>
  <c r="L114"/>
  <c r="K114"/>
  <c r="J114"/>
  <c r="I114"/>
  <c r="H114"/>
  <c r="AM113"/>
  <c r="AE112"/>
  <c r="AD112"/>
  <c r="AC112"/>
  <c r="AB112"/>
  <c r="AA112"/>
  <c r="Z112"/>
  <c r="Y112"/>
  <c r="X112"/>
  <c r="W112"/>
  <c r="V112"/>
  <c r="U112"/>
  <c r="T112"/>
  <c r="S112"/>
  <c r="R112"/>
  <c r="Q112"/>
  <c r="P112"/>
  <c r="O112"/>
  <c r="N112"/>
  <c r="M112"/>
  <c r="L112"/>
  <c r="K112"/>
  <c r="J112"/>
  <c r="I112"/>
  <c r="H112"/>
  <c r="AM111"/>
  <c r="AM103"/>
  <c r="AM102"/>
  <c r="AM101"/>
  <c r="AM100"/>
  <c r="AE99"/>
  <c r="AD99"/>
  <c r="AC99"/>
  <c r="AB99"/>
  <c r="AA99"/>
  <c r="Z99"/>
  <c r="Y99"/>
  <c r="X99"/>
  <c r="W99"/>
  <c r="V99"/>
  <c r="U99"/>
  <c r="T99"/>
  <c r="S99"/>
  <c r="R99"/>
  <c r="Q99"/>
  <c r="P99"/>
  <c r="O99"/>
  <c r="N99"/>
  <c r="M99"/>
  <c r="L99"/>
  <c r="K99"/>
  <c r="J99"/>
  <c r="I99"/>
  <c r="H99"/>
  <c r="AM98"/>
  <c r="AE97"/>
  <c r="AD97"/>
  <c r="AC97"/>
  <c r="AB97"/>
  <c r="AA97"/>
  <c r="Z97"/>
  <c r="Y97"/>
  <c r="X97"/>
  <c r="W97"/>
  <c r="V97"/>
  <c r="U97"/>
  <c r="T97"/>
  <c r="S97"/>
  <c r="R97"/>
  <c r="Q97"/>
  <c r="P97"/>
  <c r="O97"/>
  <c r="N97"/>
  <c r="M97"/>
  <c r="L97"/>
  <c r="K97"/>
  <c r="J97"/>
  <c r="I97"/>
  <c r="H97"/>
  <c r="X96"/>
  <c r="X90" s="1"/>
  <c r="S96"/>
  <c r="S90" s="1"/>
  <c r="R96"/>
  <c r="R90" s="1"/>
  <c r="Q96"/>
  <c r="Q90" s="1"/>
  <c r="P96"/>
  <c r="P90" s="1"/>
  <c r="K96"/>
  <c r="K90" s="1"/>
  <c r="J96"/>
  <c r="J90" s="1"/>
  <c r="AM95"/>
  <c r="AM94"/>
  <c r="AM93"/>
  <c r="AM92"/>
  <c r="AM91"/>
  <c r="AE90"/>
  <c r="AD90"/>
  <c r="AC90"/>
  <c r="AB90"/>
  <c r="AA90"/>
  <c r="Z90"/>
  <c r="Y90"/>
  <c r="W90"/>
  <c r="V90"/>
  <c r="U90"/>
  <c r="T90"/>
  <c r="O90"/>
  <c r="N90"/>
  <c r="M90"/>
  <c r="L90"/>
  <c r="I90"/>
  <c r="H90"/>
  <c r="AM89"/>
  <c r="AM87"/>
  <c r="AM86"/>
  <c r="AM85"/>
  <c r="AM84"/>
  <c r="AM83"/>
  <c r="AM82"/>
  <c r="AM81"/>
  <c r="AM80"/>
  <c r="AM79"/>
  <c r="AM78"/>
  <c r="AM77"/>
  <c r="AE76"/>
  <c r="AE74" s="1"/>
  <c r="AD76"/>
  <c r="AC76"/>
  <c r="AC74" s="1"/>
  <c r="AB76"/>
  <c r="AB74" s="1"/>
  <c r="AA76"/>
  <c r="AA74" s="1"/>
  <c r="Z76"/>
  <c r="Z74" s="1"/>
  <c r="Y76"/>
  <c r="Y74" s="1"/>
  <c r="X76"/>
  <c r="X74" s="1"/>
  <c r="W76"/>
  <c r="W74" s="1"/>
  <c r="V76"/>
  <c r="V74" s="1"/>
  <c r="U76"/>
  <c r="U74" s="1"/>
  <c r="T76"/>
  <c r="T74" s="1"/>
  <c r="S76"/>
  <c r="S74" s="1"/>
  <c r="R76"/>
  <c r="R74" s="1"/>
  <c r="Q76"/>
  <c r="Q74" s="1"/>
  <c r="P76"/>
  <c r="P74" s="1"/>
  <c r="O76"/>
  <c r="O74" s="1"/>
  <c r="N76"/>
  <c r="N74" s="1"/>
  <c r="M76"/>
  <c r="M74" s="1"/>
  <c r="L76"/>
  <c r="L74" s="1"/>
  <c r="K76"/>
  <c r="K74" s="1"/>
  <c r="J76"/>
  <c r="J74" s="1"/>
  <c r="I76"/>
  <c r="I74" s="1"/>
  <c r="H76"/>
  <c r="H74" s="1"/>
  <c r="AM75"/>
  <c r="AD74"/>
  <c r="AM73"/>
  <c r="AE72"/>
  <c r="AD72"/>
  <c r="AC72"/>
  <c r="AB72"/>
  <c r="AA72"/>
  <c r="Z72"/>
  <c r="Y72"/>
  <c r="X72"/>
  <c r="W72"/>
  <c r="V72"/>
  <c r="U72"/>
  <c r="T72"/>
  <c r="S72"/>
  <c r="R72"/>
  <c r="Q72"/>
  <c r="P72"/>
  <c r="O72"/>
  <c r="N72"/>
  <c r="M72"/>
  <c r="L72"/>
  <c r="K72"/>
  <c r="J72"/>
  <c r="I72"/>
  <c r="H72"/>
  <c r="AM71"/>
  <c r="AE70"/>
  <c r="AD70"/>
  <c r="AC70"/>
  <c r="AB70"/>
  <c r="AA70"/>
  <c r="Z70"/>
  <c r="Y70"/>
  <c r="X70"/>
  <c r="W70"/>
  <c r="V70"/>
  <c r="U70"/>
  <c r="T70"/>
  <c r="S70"/>
  <c r="R70"/>
  <c r="Q70"/>
  <c r="P70"/>
  <c r="O70"/>
  <c r="N70"/>
  <c r="M70"/>
  <c r="L70"/>
  <c r="K70"/>
  <c r="J70"/>
  <c r="I70"/>
  <c r="H70"/>
  <c r="AM69"/>
  <c r="AM66"/>
  <c r="AE65"/>
  <c r="AD65"/>
  <c r="AC65"/>
  <c r="AB65"/>
  <c r="AA65"/>
  <c r="Z65"/>
  <c r="Y65"/>
  <c r="X65"/>
  <c r="W65"/>
  <c r="V65"/>
  <c r="U65"/>
  <c r="T65"/>
  <c r="S65"/>
  <c r="R65"/>
  <c r="Q65"/>
  <c r="P65"/>
  <c r="O65"/>
  <c r="N65"/>
  <c r="M65"/>
  <c r="L65"/>
  <c r="K65"/>
  <c r="J65"/>
  <c r="I65"/>
  <c r="H65"/>
  <c r="AM64"/>
  <c r="I64"/>
  <c r="I63" s="1"/>
  <c r="AE63"/>
  <c r="AD63"/>
  <c r="AC63"/>
  <c r="AB63"/>
  <c r="AA63"/>
  <c r="Z63"/>
  <c r="Y63"/>
  <c r="X63"/>
  <c r="W63"/>
  <c r="V63"/>
  <c r="U63"/>
  <c r="T63"/>
  <c r="S63"/>
  <c r="R63"/>
  <c r="Q63"/>
  <c r="P63"/>
  <c r="O63"/>
  <c r="N63"/>
  <c r="M63"/>
  <c r="L63"/>
  <c r="K63"/>
  <c r="J63"/>
  <c r="H63"/>
  <c r="AE60"/>
  <c r="AD60"/>
  <c r="AC60"/>
  <c r="AB60"/>
  <c r="AA60"/>
  <c r="Z60"/>
  <c r="Y60"/>
  <c r="X60"/>
  <c r="W60"/>
  <c r="V60"/>
  <c r="U60"/>
  <c r="T60"/>
  <c r="S60"/>
  <c r="R60"/>
  <c r="Q60"/>
  <c r="P60"/>
  <c r="O60"/>
  <c r="N60"/>
  <c r="M60"/>
  <c r="L60"/>
  <c r="K60"/>
  <c r="J60"/>
  <c r="I60"/>
  <c r="H60"/>
  <c r="AM59"/>
  <c r="AM58"/>
  <c r="S58"/>
  <c r="S57" s="1"/>
  <c r="R58"/>
  <c r="R57" s="1"/>
  <c r="AE57"/>
  <c r="AD57"/>
  <c r="AC57"/>
  <c r="AB57"/>
  <c r="AA57"/>
  <c r="Z57"/>
  <c r="Y57"/>
  <c r="X57"/>
  <c r="W57"/>
  <c r="V57"/>
  <c r="U57"/>
  <c r="T57"/>
  <c r="Q57"/>
  <c r="P57"/>
  <c r="O57"/>
  <c r="N57"/>
  <c r="M57"/>
  <c r="L57"/>
  <c r="K57"/>
  <c r="J57"/>
  <c r="I57"/>
  <c r="H57"/>
  <c r="AM55"/>
  <c r="AM54"/>
  <c r="AB53"/>
  <c r="AM53" s="1"/>
  <c r="Q53"/>
  <c r="P53"/>
  <c r="O53"/>
  <c r="N53"/>
  <c r="M53"/>
  <c r="L53"/>
  <c r="K53"/>
  <c r="J53"/>
  <c r="AM51"/>
  <c r="AM50"/>
  <c r="AM49"/>
  <c r="AM48"/>
  <c r="AM47"/>
  <c r="AM46"/>
  <c r="AM45"/>
  <c r="AM44"/>
  <c r="AM43"/>
  <c r="AM42"/>
  <c r="AE41"/>
  <c r="AD41"/>
  <c r="AC41"/>
  <c r="AB41"/>
  <c r="AA41"/>
  <c r="Z41"/>
  <c r="Y41"/>
  <c r="X41"/>
  <c r="W41"/>
  <c r="V41"/>
  <c r="U41"/>
  <c r="T41"/>
  <c r="S41"/>
  <c r="R41"/>
  <c r="Q41"/>
  <c r="P41"/>
  <c r="O41"/>
  <c r="N41"/>
  <c r="M41"/>
  <c r="L41"/>
  <c r="K41"/>
  <c r="J41"/>
  <c r="I41"/>
  <c r="H41"/>
  <c r="AM40"/>
  <c r="AM39"/>
  <c r="AM38"/>
  <c r="AM37"/>
  <c r="AM36"/>
  <c r="AN35"/>
  <c r="AE35"/>
  <c r="AD35"/>
  <c r="AC35"/>
  <c r="AB35"/>
  <c r="AA35"/>
  <c r="Z35"/>
  <c r="Y35"/>
  <c r="X35"/>
  <c r="W35"/>
  <c r="V35"/>
  <c r="U35"/>
  <c r="T35"/>
  <c r="S35"/>
  <c r="R35"/>
  <c r="Q35"/>
  <c r="P35"/>
  <c r="O35"/>
  <c r="N35"/>
  <c r="M35"/>
  <c r="L35"/>
  <c r="K35"/>
  <c r="J35"/>
  <c r="I35"/>
  <c r="H35"/>
  <c r="AG21"/>
  <c r="AM16"/>
  <c r="AM15"/>
  <c r="R15"/>
  <c r="R12" s="1"/>
  <c r="J15"/>
  <c r="J12" s="1"/>
  <c r="AM14"/>
  <c r="AM13"/>
  <c r="J142" i="1"/>
  <c r="K142"/>
  <c r="L142"/>
  <c r="M142"/>
  <c r="O142"/>
  <c r="P142"/>
  <c r="Q142"/>
  <c r="R142"/>
  <c r="V142"/>
  <c r="I142"/>
  <c r="S167"/>
  <c r="S160" s="1"/>
  <c r="S159" s="1"/>
  <c r="S273"/>
  <c r="S272" s="1"/>
  <c r="O387"/>
  <c r="P387"/>
  <c r="Q387"/>
  <c r="R387"/>
  <c r="S387"/>
  <c r="V387"/>
  <c r="O382"/>
  <c r="P382"/>
  <c r="Q382"/>
  <c r="R382"/>
  <c r="S382"/>
  <c r="V382"/>
  <c r="W382"/>
  <c r="W381" s="1"/>
  <c r="W380" s="1"/>
  <c r="O378"/>
  <c r="O377" s="1"/>
  <c r="P378"/>
  <c r="P377" s="1"/>
  <c r="Q378"/>
  <c r="Q377" s="1"/>
  <c r="R378"/>
  <c r="R377" s="1"/>
  <c r="S378"/>
  <c r="S377" s="1"/>
  <c r="V378"/>
  <c r="V377" s="1"/>
  <c r="O364"/>
  <c r="O363" s="1"/>
  <c r="P364"/>
  <c r="P363" s="1"/>
  <c r="Q364"/>
  <c r="Q363" s="1"/>
  <c r="R364"/>
  <c r="R363" s="1"/>
  <c r="S364"/>
  <c r="S363" s="1"/>
  <c r="V364"/>
  <c r="V363" s="1"/>
  <c r="O360"/>
  <c r="P360"/>
  <c r="Q360"/>
  <c r="R360"/>
  <c r="S360"/>
  <c r="V360"/>
  <c r="O356"/>
  <c r="P356"/>
  <c r="Q356"/>
  <c r="R356"/>
  <c r="S356"/>
  <c r="V356"/>
  <c r="O348"/>
  <c r="O347" s="1"/>
  <c r="P348"/>
  <c r="P347" s="1"/>
  <c r="Q348"/>
  <c r="Q347" s="1"/>
  <c r="R348"/>
  <c r="R347" s="1"/>
  <c r="S348"/>
  <c r="S347" s="1"/>
  <c r="V348"/>
  <c r="V347" s="1"/>
  <c r="O339"/>
  <c r="P339"/>
  <c r="Q339"/>
  <c r="R339"/>
  <c r="S339"/>
  <c r="V339"/>
  <c r="O334"/>
  <c r="P334"/>
  <c r="Q334"/>
  <c r="R334"/>
  <c r="S334"/>
  <c r="V334"/>
  <c r="O326"/>
  <c r="O325" s="1"/>
  <c r="P326"/>
  <c r="P325" s="1"/>
  <c r="Q326"/>
  <c r="Q325" s="1"/>
  <c r="R326"/>
  <c r="R325" s="1"/>
  <c r="S326"/>
  <c r="S325" s="1"/>
  <c r="V326"/>
  <c r="V325" s="1"/>
  <c r="O323"/>
  <c r="P323"/>
  <c r="Q323"/>
  <c r="R323"/>
  <c r="S323"/>
  <c r="V323"/>
  <c r="O320"/>
  <c r="O319" s="1"/>
  <c r="P320"/>
  <c r="P319" s="1"/>
  <c r="Q320"/>
  <c r="Q319" s="1"/>
  <c r="R320"/>
  <c r="R319" s="1"/>
  <c r="S320"/>
  <c r="S319" s="1"/>
  <c r="V320"/>
  <c r="V319" s="1"/>
  <c r="O317"/>
  <c r="P317"/>
  <c r="Q317"/>
  <c r="R317"/>
  <c r="S317"/>
  <c r="V317"/>
  <c r="O312"/>
  <c r="P312"/>
  <c r="Q312"/>
  <c r="R312"/>
  <c r="S312"/>
  <c r="V312"/>
  <c r="O302"/>
  <c r="O301" s="1"/>
  <c r="P302"/>
  <c r="P301" s="1"/>
  <c r="Q302"/>
  <c r="Q301" s="1"/>
  <c r="R302"/>
  <c r="R301" s="1"/>
  <c r="S302"/>
  <c r="S301" s="1"/>
  <c r="O298"/>
  <c r="P298"/>
  <c r="Q298"/>
  <c r="R298"/>
  <c r="S298"/>
  <c r="V298"/>
  <c r="O294"/>
  <c r="P294"/>
  <c r="Q294"/>
  <c r="R294"/>
  <c r="S294"/>
  <c r="V294"/>
  <c r="O283"/>
  <c r="P283"/>
  <c r="Q283"/>
  <c r="R283"/>
  <c r="S283"/>
  <c r="V283"/>
  <c r="P277"/>
  <c r="Q277"/>
  <c r="R277"/>
  <c r="S277"/>
  <c r="V277"/>
  <c r="O273"/>
  <c r="O272" s="1"/>
  <c r="P273"/>
  <c r="P272" s="1"/>
  <c r="Q273"/>
  <c r="Q272" s="1"/>
  <c r="R273"/>
  <c r="R272" s="1"/>
  <c r="V273"/>
  <c r="V272" s="1"/>
  <c r="O270"/>
  <c r="P270"/>
  <c r="Q270"/>
  <c r="R270"/>
  <c r="S270"/>
  <c r="V270"/>
  <c r="O266"/>
  <c r="O265" s="1"/>
  <c r="O264" s="1"/>
  <c r="P266"/>
  <c r="P265" s="1"/>
  <c r="P264" s="1"/>
  <c r="Q266"/>
  <c r="Q265" s="1"/>
  <c r="Q264" s="1"/>
  <c r="R266"/>
  <c r="R265" s="1"/>
  <c r="R264" s="1"/>
  <c r="S266"/>
  <c r="S265" s="1"/>
  <c r="S264" s="1"/>
  <c r="V266"/>
  <c r="V265" s="1"/>
  <c r="V264" s="1"/>
  <c r="O261"/>
  <c r="O260" s="1"/>
  <c r="P261"/>
  <c r="P260" s="1"/>
  <c r="Q261"/>
  <c r="Q260" s="1"/>
  <c r="R261"/>
  <c r="R260" s="1"/>
  <c r="S261"/>
  <c r="S260" s="1"/>
  <c r="V261"/>
  <c r="V260" s="1"/>
  <c r="O258"/>
  <c r="P258"/>
  <c r="Q258"/>
  <c r="R258"/>
  <c r="S258"/>
  <c r="V258"/>
  <c r="O254"/>
  <c r="O253" s="1"/>
  <c r="O252" s="1"/>
  <c r="P254"/>
  <c r="P253" s="1"/>
  <c r="P252" s="1"/>
  <c r="Q254"/>
  <c r="Q253" s="1"/>
  <c r="Q252" s="1"/>
  <c r="R254"/>
  <c r="R253" s="1"/>
  <c r="R252" s="1"/>
  <c r="S254"/>
  <c r="S253" s="1"/>
  <c r="S252" s="1"/>
  <c r="V254"/>
  <c r="V253" s="1"/>
  <c r="V252" s="1"/>
  <c r="O250"/>
  <c r="O249" s="1"/>
  <c r="O248" s="1"/>
  <c r="P250"/>
  <c r="P249" s="1"/>
  <c r="P248" s="1"/>
  <c r="Q250"/>
  <c r="Q249" s="1"/>
  <c r="Q248" s="1"/>
  <c r="R250"/>
  <c r="R249" s="1"/>
  <c r="R248" s="1"/>
  <c r="S250"/>
  <c r="S249" s="1"/>
  <c r="S248" s="1"/>
  <c r="V250"/>
  <c r="V249" s="1"/>
  <c r="V248" s="1"/>
  <c r="O242"/>
  <c r="P242"/>
  <c r="Q242"/>
  <c r="R242"/>
  <c r="S242"/>
  <c r="V242"/>
  <c r="O238"/>
  <c r="P238"/>
  <c r="Q238"/>
  <c r="R238"/>
  <c r="S238"/>
  <c r="V238"/>
  <c r="O224"/>
  <c r="P224"/>
  <c r="Q224"/>
  <c r="R224"/>
  <c r="S224"/>
  <c r="V224"/>
  <c r="O216"/>
  <c r="P216"/>
  <c r="Q216"/>
  <c r="R216"/>
  <c r="S216"/>
  <c r="V216"/>
  <c r="O213"/>
  <c r="O212" s="1"/>
  <c r="P213"/>
  <c r="P212" s="1"/>
  <c r="Q213"/>
  <c r="Q212" s="1"/>
  <c r="R213"/>
  <c r="R212" s="1"/>
  <c r="S213"/>
  <c r="S212" s="1"/>
  <c r="V213"/>
  <c r="V212" s="1"/>
  <c r="M210"/>
  <c r="O210"/>
  <c r="P210"/>
  <c r="Q210"/>
  <c r="R210"/>
  <c r="S210"/>
  <c r="V210"/>
  <c r="O204"/>
  <c r="P204"/>
  <c r="Q204"/>
  <c r="R204"/>
  <c r="S204"/>
  <c r="V204"/>
  <c r="O197"/>
  <c r="P197"/>
  <c r="Q197"/>
  <c r="R197"/>
  <c r="S197"/>
  <c r="V197"/>
  <c r="O191"/>
  <c r="O190" s="1"/>
  <c r="P191"/>
  <c r="P190" s="1"/>
  <c r="Q191"/>
  <c r="Q190" s="1"/>
  <c r="R191"/>
  <c r="R190" s="1"/>
  <c r="S191"/>
  <c r="S190" s="1"/>
  <c r="V191"/>
  <c r="V190" s="1"/>
  <c r="O187"/>
  <c r="O186" s="1"/>
  <c r="O185" s="1"/>
  <c r="P187"/>
  <c r="P186" s="1"/>
  <c r="P185" s="1"/>
  <c r="Q187"/>
  <c r="Q186" s="1"/>
  <c r="Q185" s="1"/>
  <c r="R187"/>
  <c r="R186" s="1"/>
  <c r="R185" s="1"/>
  <c r="S187"/>
  <c r="S186" s="1"/>
  <c r="S185" s="1"/>
  <c r="V187"/>
  <c r="V186" s="1"/>
  <c r="V185" s="1"/>
  <c r="O182"/>
  <c r="O181" s="1"/>
  <c r="O180" s="1"/>
  <c r="P182"/>
  <c r="P181" s="1"/>
  <c r="P180" s="1"/>
  <c r="Q182"/>
  <c r="Q181" s="1"/>
  <c r="Q180" s="1"/>
  <c r="R182"/>
  <c r="R181" s="1"/>
  <c r="R180" s="1"/>
  <c r="S182"/>
  <c r="S181" s="1"/>
  <c r="S180" s="1"/>
  <c r="V182"/>
  <c r="V181" s="1"/>
  <c r="V180" s="1"/>
  <c r="O177"/>
  <c r="O176" s="1"/>
  <c r="P177"/>
  <c r="P176" s="1"/>
  <c r="Q177"/>
  <c r="Q176" s="1"/>
  <c r="R177"/>
  <c r="R176" s="1"/>
  <c r="S177"/>
  <c r="S176" s="1"/>
  <c r="V177"/>
  <c r="V176" s="1"/>
  <c r="O173"/>
  <c r="P173"/>
  <c r="Q173"/>
  <c r="R173"/>
  <c r="S173"/>
  <c r="V173"/>
  <c r="O170"/>
  <c r="P170"/>
  <c r="Q170"/>
  <c r="R170"/>
  <c r="S170"/>
  <c r="V170"/>
  <c r="O160"/>
  <c r="O159" s="1"/>
  <c r="P160"/>
  <c r="P159" s="1"/>
  <c r="Q160"/>
  <c r="Q159" s="1"/>
  <c r="R160"/>
  <c r="R159" s="1"/>
  <c r="V160"/>
  <c r="V159" s="1"/>
  <c r="O156"/>
  <c r="P156"/>
  <c r="Q156"/>
  <c r="R156"/>
  <c r="S156"/>
  <c r="V156"/>
  <c r="O153"/>
  <c r="P153"/>
  <c r="Q153"/>
  <c r="R153"/>
  <c r="S153"/>
  <c r="V153"/>
  <c r="O150"/>
  <c r="P150"/>
  <c r="Q150"/>
  <c r="R150"/>
  <c r="S150"/>
  <c r="V150"/>
  <c r="O136"/>
  <c r="P136"/>
  <c r="Q136"/>
  <c r="R136"/>
  <c r="S136"/>
  <c r="V136"/>
  <c r="V297" l="1"/>
  <c r="D289" i="22"/>
  <c r="D288" s="1"/>
  <c r="D287" s="1"/>
  <c r="H289"/>
  <c r="H288" s="1"/>
  <c r="H287" s="1"/>
  <c r="H295"/>
  <c r="D104"/>
  <c r="E295"/>
  <c r="D295"/>
  <c r="F289"/>
  <c r="F288" s="1"/>
  <c r="F287" s="1"/>
  <c r="E154"/>
  <c r="E153" s="1"/>
  <c r="E146" s="1"/>
  <c r="M284" i="23"/>
  <c r="I266" i="22"/>
  <c r="G289"/>
  <c r="G288" s="1"/>
  <c r="G287" s="1"/>
  <c r="R381" i="1"/>
  <c r="R380" s="1"/>
  <c r="I32" i="22"/>
  <c r="D236"/>
  <c r="D112"/>
  <c r="D111" s="1"/>
  <c r="D110" s="1"/>
  <c r="E289"/>
  <c r="E288" s="1"/>
  <c r="E287" s="1"/>
  <c r="M52" i="23"/>
  <c r="I238" i="22"/>
  <c r="I237" s="1"/>
  <c r="I236" s="1"/>
  <c r="F236"/>
  <c r="F228" s="1"/>
  <c r="E265"/>
  <c r="E264" s="1"/>
  <c r="E260" s="1"/>
  <c r="I230"/>
  <c r="I229" s="1"/>
  <c r="I217"/>
  <c r="I216" s="1"/>
  <c r="H265"/>
  <c r="H264" s="1"/>
  <c r="H260" s="1"/>
  <c r="I284"/>
  <c r="G112"/>
  <c r="G111" s="1"/>
  <c r="G110" s="1"/>
  <c r="G237"/>
  <c r="G236" s="1"/>
  <c r="G228" s="1"/>
  <c r="F265"/>
  <c r="F264" s="1"/>
  <c r="F260" s="1"/>
  <c r="I277"/>
  <c r="I281"/>
  <c r="I290"/>
  <c r="I289" s="1"/>
  <c r="I288" s="1"/>
  <c r="I287" s="1"/>
  <c r="I196"/>
  <c r="I222"/>
  <c r="I221" s="1"/>
  <c r="I220" s="1"/>
  <c r="F295"/>
  <c r="G295"/>
  <c r="F154"/>
  <c r="F153" s="1"/>
  <c r="F146" s="1"/>
  <c r="E237"/>
  <c r="E236" s="1"/>
  <c r="E228" s="1"/>
  <c r="I300"/>
  <c r="I295" s="1"/>
  <c r="I136"/>
  <c r="E112"/>
  <c r="E111" s="1"/>
  <c r="E110" s="1"/>
  <c r="H112"/>
  <c r="H111" s="1"/>
  <c r="H110" s="1"/>
  <c r="I19"/>
  <c r="I18" s="1"/>
  <c r="I17" s="1"/>
  <c r="I13" s="1"/>
  <c r="M66" i="23"/>
  <c r="H66"/>
  <c r="E28" i="22"/>
  <c r="I265" i="23"/>
  <c r="M283"/>
  <c r="M282" s="1"/>
  <c r="M268"/>
  <c r="K265"/>
  <c r="I72" i="22"/>
  <c r="I80"/>
  <c r="I155"/>
  <c r="D154"/>
  <c r="D153" s="1"/>
  <c r="D146" s="1"/>
  <c r="H154"/>
  <c r="H153" s="1"/>
  <c r="H146" s="1"/>
  <c r="I148"/>
  <c r="I147" s="1"/>
  <c r="D18"/>
  <c r="D17" s="1"/>
  <c r="D13" s="1"/>
  <c r="E104"/>
  <c r="F104"/>
  <c r="G154"/>
  <c r="G153" s="1"/>
  <c r="G146" s="1"/>
  <c r="I206"/>
  <c r="H237"/>
  <c r="H236" s="1"/>
  <c r="H228" s="1"/>
  <c r="J194" i="23"/>
  <c r="L194"/>
  <c r="M72"/>
  <c r="L265"/>
  <c r="M195"/>
  <c r="K142"/>
  <c r="K141" s="1"/>
  <c r="K87"/>
  <c r="L270"/>
  <c r="L142"/>
  <c r="L141" s="1"/>
  <c r="H142"/>
  <c r="H141" s="1"/>
  <c r="I76" i="22"/>
  <c r="I29"/>
  <c r="F17"/>
  <c r="F13" s="1"/>
  <c r="E18"/>
  <c r="E17" s="1"/>
  <c r="E13" s="1"/>
  <c r="F28"/>
  <c r="I59"/>
  <c r="H28"/>
  <c r="G104"/>
  <c r="I128"/>
  <c r="E215"/>
  <c r="M20" i="23"/>
  <c r="G17" i="22"/>
  <c r="G13" s="1"/>
  <c r="G28"/>
  <c r="D28"/>
  <c r="H104"/>
  <c r="I113"/>
  <c r="D228"/>
  <c r="M246" i="23"/>
  <c r="H194"/>
  <c r="D142"/>
  <c r="D141" s="1"/>
  <c r="M88"/>
  <c r="H87"/>
  <c r="K17"/>
  <c r="K16" s="1"/>
  <c r="K12" s="1"/>
  <c r="H18" i="22"/>
  <c r="H17" s="1"/>
  <c r="H13" s="1"/>
  <c r="I53"/>
  <c r="F112"/>
  <c r="F111" s="1"/>
  <c r="F110" s="1"/>
  <c r="I200"/>
  <c r="D215"/>
  <c r="G215"/>
  <c r="D265"/>
  <c r="D264" s="1"/>
  <c r="D260" s="1"/>
  <c r="G265"/>
  <c r="G264" s="1"/>
  <c r="G260" s="1"/>
  <c r="E270" i="23"/>
  <c r="M267"/>
  <c r="M266" s="1"/>
  <c r="I194"/>
  <c r="M145"/>
  <c r="I142"/>
  <c r="I141" s="1"/>
  <c r="F11"/>
  <c r="M47"/>
  <c r="J17"/>
  <c r="J16" s="1"/>
  <c r="J12" s="1"/>
  <c r="D17"/>
  <c r="D88"/>
  <c r="I205"/>
  <c r="E87"/>
  <c r="J270"/>
  <c r="I270"/>
  <c r="H205"/>
  <c r="E194"/>
  <c r="M91"/>
  <c r="H33"/>
  <c r="H32" s="1"/>
  <c r="E82"/>
  <c r="E81" s="1"/>
  <c r="I33"/>
  <c r="I32" s="1"/>
  <c r="I27" s="1"/>
  <c r="D16"/>
  <c r="D12" s="1"/>
  <c r="H270"/>
  <c r="E236"/>
  <c r="M211"/>
  <c r="E205"/>
  <c r="D194"/>
  <c r="J142"/>
  <c r="J141" s="1"/>
  <c r="J134" s="1"/>
  <c r="M84"/>
  <c r="E33"/>
  <c r="E32" s="1"/>
  <c r="M143"/>
  <c r="M234"/>
  <c r="M102"/>
  <c r="J91"/>
  <c r="J87" s="1"/>
  <c r="D33"/>
  <c r="D32" s="1"/>
  <c r="D27" s="1"/>
  <c r="M28"/>
  <c r="E20"/>
  <c r="E17" s="1"/>
  <c r="E16" s="1"/>
  <c r="E12" s="1"/>
  <c r="M19"/>
  <c r="M18" s="1"/>
  <c r="D270"/>
  <c r="E265"/>
  <c r="M241"/>
  <c r="M236" s="1"/>
  <c r="M230"/>
  <c r="L214"/>
  <c r="M214" s="1"/>
  <c r="D205"/>
  <c r="K194"/>
  <c r="E142"/>
  <c r="E141" s="1"/>
  <c r="J102"/>
  <c r="D91"/>
  <c r="L34"/>
  <c r="L17"/>
  <c r="L16" s="1"/>
  <c r="L12" s="1"/>
  <c r="I17"/>
  <c r="I16" s="1"/>
  <c r="I12" s="1"/>
  <c r="M56"/>
  <c r="J265"/>
  <c r="D265"/>
  <c r="M242"/>
  <c r="K205"/>
  <c r="M188"/>
  <c r="I87"/>
  <c r="L87"/>
  <c r="K33"/>
  <c r="K32" s="1"/>
  <c r="K27" s="1"/>
  <c r="H17"/>
  <c r="H16" s="1"/>
  <c r="H12" s="1"/>
  <c r="J205"/>
  <c r="L59"/>
  <c r="J33"/>
  <c r="J32" s="1"/>
  <c r="J27" s="1"/>
  <c r="H265"/>
  <c r="H82"/>
  <c r="H81" s="1"/>
  <c r="K270"/>
  <c r="M135"/>
  <c r="G11"/>
  <c r="M37"/>
  <c r="M235"/>
  <c r="M206"/>
  <c r="M197"/>
  <c r="M80"/>
  <c r="M75" s="1"/>
  <c r="M82"/>
  <c r="M81" s="1"/>
  <c r="M57"/>
  <c r="M270"/>
  <c r="M136"/>
  <c r="M15"/>
  <c r="M14" s="1"/>
  <c r="M13" s="1"/>
  <c r="M60"/>
  <c r="M59" s="1"/>
  <c r="I104" i="22"/>
  <c r="H215"/>
  <c r="F215"/>
  <c r="AF179" i="21"/>
  <c r="AF149"/>
  <c r="AG207"/>
  <c r="AG174"/>
  <c r="AF118"/>
  <c r="AF116" s="1"/>
  <c r="AF57"/>
  <c r="AG219"/>
  <c r="AG217" s="1"/>
  <c r="AG200"/>
  <c r="AD68"/>
  <c r="AG195"/>
  <c r="AF219"/>
  <c r="AF217" s="1"/>
  <c r="AF200"/>
  <c r="R68"/>
  <c r="AG179"/>
  <c r="AG149"/>
  <c r="AG188"/>
  <c r="AG183" s="1"/>
  <c r="AF214"/>
  <c r="AF188"/>
  <c r="AF183" s="1"/>
  <c r="AF136"/>
  <c r="AF133" s="1"/>
  <c r="AG224"/>
  <c r="AG223" s="1"/>
  <c r="AF224"/>
  <c r="AF223" s="1"/>
  <c r="AG136"/>
  <c r="AG133" s="1"/>
  <c r="AF195"/>
  <c r="M173"/>
  <c r="Y173"/>
  <c r="AF174"/>
  <c r="P282" i="1"/>
  <c r="V381"/>
  <c r="V380" s="1"/>
  <c r="R333"/>
  <c r="R332" s="1"/>
  <c r="P333"/>
  <c r="P332" s="1"/>
  <c r="S203"/>
  <c r="S196" s="1"/>
  <c r="V223"/>
  <c r="V215" s="1"/>
  <c r="S223"/>
  <c r="S215" s="1"/>
  <c r="O381"/>
  <c r="O380" s="1"/>
  <c r="P257"/>
  <c r="S282"/>
  <c r="S276" s="1"/>
  <c r="S155"/>
  <c r="P269"/>
  <c r="AG152" i="21"/>
  <c r="AF152"/>
  <c r="AF207"/>
  <c r="AF206" s="1"/>
  <c r="AM171"/>
  <c r="AG214"/>
  <c r="AG206" s="1"/>
  <c r="AG146"/>
  <c r="AF146"/>
  <c r="AE194"/>
  <c r="L56"/>
  <c r="P110"/>
  <c r="AB110"/>
  <c r="AM126"/>
  <c r="AK110"/>
  <c r="AI133"/>
  <c r="AI173"/>
  <c r="AG118"/>
  <c r="AG116" s="1"/>
  <c r="AG57"/>
  <c r="AG56" s="1"/>
  <c r="T125"/>
  <c r="AM125" s="1"/>
  <c r="AF110"/>
  <c r="AF35"/>
  <c r="AJ116"/>
  <c r="AE133"/>
  <c r="AF104"/>
  <c r="S194"/>
  <c r="AG104"/>
  <c r="K173"/>
  <c r="W173"/>
  <c r="N223"/>
  <c r="Z223"/>
  <c r="I194"/>
  <c r="AG35"/>
  <c r="AG41"/>
  <c r="O173"/>
  <c r="AK194"/>
  <c r="AF41"/>
  <c r="AG110"/>
  <c r="AF62"/>
  <c r="AF99"/>
  <c r="AG12"/>
  <c r="AF76"/>
  <c r="AF74" s="1"/>
  <c r="W56"/>
  <c r="AH56"/>
  <c r="AG99"/>
  <c r="AG68"/>
  <c r="AI56"/>
  <c r="AG76"/>
  <c r="AG74" s="1"/>
  <c r="AG90"/>
  <c r="AF90"/>
  <c r="AF68"/>
  <c r="AG62"/>
  <c r="AF56"/>
  <c r="AM146"/>
  <c r="AK206"/>
  <c r="AK223"/>
  <c r="AD62"/>
  <c r="P194"/>
  <c r="H62"/>
  <c r="AB68"/>
  <c r="AD88"/>
  <c r="AJ62"/>
  <c r="K68"/>
  <c r="W68"/>
  <c r="Z116"/>
  <c r="H56"/>
  <c r="I110"/>
  <c r="R116"/>
  <c r="P68"/>
  <c r="Q206"/>
  <c r="AB159"/>
  <c r="J116"/>
  <c r="AF53"/>
  <c r="AK62"/>
  <c r="AC56"/>
  <c r="AE173"/>
  <c r="AC194"/>
  <c r="T56"/>
  <c r="R56"/>
  <c r="Q62"/>
  <c r="AC62"/>
  <c r="R110"/>
  <c r="AD110"/>
  <c r="S133"/>
  <c r="AH194"/>
  <c r="V173"/>
  <c r="AJ68"/>
  <c r="Y194"/>
  <c r="AE62"/>
  <c r="S116"/>
  <c r="AE116"/>
  <c r="K110"/>
  <c r="W110"/>
  <c r="O68"/>
  <c r="AA68"/>
  <c r="AK116"/>
  <c r="AJ194"/>
  <c r="M88"/>
  <c r="AF21"/>
  <c r="AF12" s="1"/>
  <c r="AH133"/>
  <c r="AI183"/>
  <c r="M56"/>
  <c r="Y56"/>
  <c r="AD133"/>
  <c r="Q223"/>
  <c r="AI143"/>
  <c r="H143"/>
  <c r="W62"/>
  <c r="H116"/>
  <c r="T116"/>
  <c r="S173"/>
  <c r="R206"/>
  <c r="AH68"/>
  <c r="AJ110"/>
  <c r="AJ133"/>
  <c r="Y143"/>
  <c r="AI68"/>
  <c r="AH88"/>
  <c r="AK133"/>
  <c r="K116"/>
  <c r="W116"/>
  <c r="N183"/>
  <c r="Z183"/>
  <c r="I206"/>
  <c r="AI116"/>
  <c r="AJ173"/>
  <c r="AH223"/>
  <c r="J206"/>
  <c r="V206"/>
  <c r="AK173"/>
  <c r="AI194"/>
  <c r="AB183"/>
  <c r="AC183"/>
  <c r="AH143"/>
  <c r="K56"/>
  <c r="X56"/>
  <c r="R62"/>
  <c r="AD116"/>
  <c r="AM160"/>
  <c r="AH62"/>
  <c r="AK68"/>
  <c r="AJ88"/>
  <c r="AI223"/>
  <c r="S62"/>
  <c r="AB194"/>
  <c r="X194"/>
  <c r="AD206"/>
  <c r="AC223"/>
  <c r="AI62"/>
  <c r="AK88"/>
  <c r="AH116"/>
  <c r="AJ143"/>
  <c r="AJ223"/>
  <c r="T62"/>
  <c r="M68"/>
  <c r="Y68"/>
  <c r="L68"/>
  <c r="O110"/>
  <c r="AA110"/>
  <c r="V116"/>
  <c r="O183"/>
  <c r="AA183"/>
  <c r="M194"/>
  <c r="R223"/>
  <c r="O223"/>
  <c r="AA223"/>
  <c r="AH110"/>
  <c r="AK143"/>
  <c r="AM179"/>
  <c r="AH183"/>
  <c r="H88"/>
  <c r="T88"/>
  <c r="J133"/>
  <c r="V133"/>
  <c r="O143"/>
  <c r="AA143"/>
  <c r="N173"/>
  <c r="Z173"/>
  <c r="AI88"/>
  <c r="K62"/>
  <c r="AJ183"/>
  <c r="Q56"/>
  <c r="AD56"/>
  <c r="AA88"/>
  <c r="O88"/>
  <c r="K133"/>
  <c r="AB173"/>
  <c r="Q183"/>
  <c r="U194"/>
  <c r="S223"/>
  <c r="AE223"/>
  <c r="AJ56"/>
  <c r="AI110"/>
  <c r="AK183"/>
  <c r="AH206"/>
  <c r="AM112"/>
  <c r="AM163"/>
  <c r="P183"/>
  <c r="J194"/>
  <c r="V194"/>
  <c r="AD194"/>
  <c r="AM228"/>
  <c r="AK56"/>
  <c r="AH173"/>
  <c r="AI206"/>
  <c r="R88"/>
  <c r="U110"/>
  <c r="P116"/>
  <c r="AB116"/>
  <c r="N133"/>
  <c r="Z133"/>
  <c r="L223"/>
  <c r="X223"/>
  <c r="AJ206"/>
  <c r="J110"/>
  <c r="V110"/>
  <c r="O133"/>
  <c r="AG53"/>
  <c r="P133"/>
  <c r="AB133"/>
  <c r="AB143"/>
  <c r="I183"/>
  <c r="U183"/>
  <c r="I56"/>
  <c r="U56"/>
  <c r="J62"/>
  <c r="V62"/>
  <c r="N88"/>
  <c r="I116"/>
  <c r="U116"/>
  <c r="W133"/>
  <c r="M143"/>
  <c r="AM191"/>
  <c r="AM219"/>
  <c r="L133"/>
  <c r="X133"/>
  <c r="N143"/>
  <c r="H173"/>
  <c r="M183"/>
  <c r="Y183"/>
  <c r="AC206"/>
  <c r="X88"/>
  <c r="M133"/>
  <c r="Y133"/>
  <c r="AA173"/>
  <c r="Q143"/>
  <c r="AC143"/>
  <c r="P143"/>
  <c r="P173"/>
  <c r="L194"/>
  <c r="AM200"/>
  <c r="K206"/>
  <c r="W206"/>
  <c r="O62"/>
  <c r="AA62"/>
  <c r="M62"/>
  <c r="Y62"/>
  <c r="N116"/>
  <c r="Q173"/>
  <c r="AC173"/>
  <c r="U206"/>
  <c r="P62"/>
  <c r="AB62"/>
  <c r="H68"/>
  <c r="U88"/>
  <c r="V88"/>
  <c r="M110"/>
  <c r="Y110"/>
  <c r="O116"/>
  <c r="AA116"/>
  <c r="Q133"/>
  <c r="AC133"/>
  <c r="S143"/>
  <c r="AE143"/>
  <c r="R173"/>
  <c r="AD173"/>
  <c r="AD223"/>
  <c r="P56"/>
  <c r="AB56"/>
  <c r="I68"/>
  <c r="U68"/>
  <c r="R133"/>
  <c r="AM144"/>
  <c r="O194"/>
  <c r="AA194"/>
  <c r="N206"/>
  <c r="Z206"/>
  <c r="I143"/>
  <c r="U143"/>
  <c r="O206"/>
  <c r="AA206"/>
  <c r="K223"/>
  <c r="W223"/>
  <c r="Y88"/>
  <c r="I173"/>
  <c r="U173"/>
  <c r="Q194"/>
  <c r="AM41"/>
  <c r="S56"/>
  <c r="AE56"/>
  <c r="L88"/>
  <c r="Z88"/>
  <c r="Q110"/>
  <c r="AC110"/>
  <c r="Q116"/>
  <c r="AC116"/>
  <c r="I133"/>
  <c r="H133"/>
  <c r="K143"/>
  <c r="W143"/>
  <c r="AM149"/>
  <c r="J173"/>
  <c r="R194"/>
  <c r="M223"/>
  <c r="Y223"/>
  <c r="N56"/>
  <c r="Z56"/>
  <c r="N62"/>
  <c r="Z62"/>
  <c r="Q68"/>
  <c r="AC68"/>
  <c r="I88"/>
  <c r="K88"/>
  <c r="W88"/>
  <c r="H110"/>
  <c r="AM114"/>
  <c r="AA133"/>
  <c r="AM214"/>
  <c r="J143"/>
  <c r="V143"/>
  <c r="L183"/>
  <c r="X183"/>
  <c r="K183"/>
  <c r="W183"/>
  <c r="AM35"/>
  <c r="AM57"/>
  <c r="J88"/>
  <c r="AM121"/>
  <c r="L143"/>
  <c r="X143"/>
  <c r="I223"/>
  <c r="U223"/>
  <c r="AM70"/>
  <c r="S68"/>
  <c r="AE68"/>
  <c r="AM123"/>
  <c r="AM152"/>
  <c r="L206"/>
  <c r="X206"/>
  <c r="J223"/>
  <c r="V223"/>
  <c r="J56"/>
  <c r="V56"/>
  <c r="AM63"/>
  <c r="AM72"/>
  <c r="L110"/>
  <c r="X110"/>
  <c r="L116"/>
  <c r="X116"/>
  <c r="Z143"/>
  <c r="T159"/>
  <c r="AM169"/>
  <c r="H194"/>
  <c r="T194"/>
  <c r="P206"/>
  <c r="AB206"/>
  <c r="M206"/>
  <c r="Y206"/>
  <c r="I62"/>
  <c r="U62"/>
  <c r="J68"/>
  <c r="V68"/>
  <c r="N110"/>
  <c r="Z110"/>
  <c r="M116"/>
  <c r="Y116"/>
  <c r="AM129"/>
  <c r="AM134"/>
  <c r="T143"/>
  <c r="AM231"/>
  <c r="AM65"/>
  <c r="AM74"/>
  <c r="AC88"/>
  <c r="U133"/>
  <c r="T133"/>
  <c r="T162"/>
  <c r="AM162" s="1"/>
  <c r="AM174"/>
  <c r="T217"/>
  <c r="AM217" s="1"/>
  <c r="Q88"/>
  <c r="S183"/>
  <c r="AE183"/>
  <c r="R183"/>
  <c r="AD183"/>
  <c r="K194"/>
  <c r="W194"/>
  <c r="L62"/>
  <c r="X62"/>
  <c r="X68"/>
  <c r="S88"/>
  <c r="AE88"/>
  <c r="R143"/>
  <c r="AD143"/>
  <c r="AM184"/>
  <c r="H206"/>
  <c r="T206"/>
  <c r="O56"/>
  <c r="AA56"/>
  <c r="N68"/>
  <c r="Z68"/>
  <c r="AM97"/>
  <c r="H183"/>
  <c r="AM186"/>
  <c r="P223"/>
  <c r="AB223"/>
  <c r="AM99"/>
  <c r="P88"/>
  <c r="AB88"/>
  <c r="S110"/>
  <c r="AE110"/>
  <c r="AM168"/>
  <c r="L173"/>
  <c r="X173"/>
  <c r="J183"/>
  <c r="V183"/>
  <c r="AM188"/>
  <c r="N194"/>
  <c r="Z194"/>
  <c r="S206"/>
  <c r="AE206"/>
  <c r="H223"/>
  <c r="AM224"/>
  <c r="T230"/>
  <c r="AM230" s="1"/>
  <c r="S333" i="1"/>
  <c r="S332" s="1"/>
  <c r="S142"/>
  <c r="Q381"/>
  <c r="Q380" s="1"/>
  <c r="S316"/>
  <c r="V359"/>
  <c r="AM90" i="21"/>
  <c r="T110"/>
  <c r="T183"/>
  <c r="AM195"/>
  <c r="AM207"/>
  <c r="AM76"/>
  <c r="AM136"/>
  <c r="T173"/>
  <c r="T223"/>
  <c r="AM118"/>
  <c r="AM96"/>
  <c r="T68"/>
  <c r="T128"/>
  <c r="AM128" s="1"/>
  <c r="R223" i="1"/>
  <c r="R215" s="1"/>
  <c r="V257"/>
  <c r="P223"/>
  <c r="P215" s="1"/>
  <c r="V333"/>
  <c r="V332" s="1"/>
  <c r="S269"/>
  <c r="Q155"/>
  <c r="O333"/>
  <c r="O332" s="1"/>
  <c r="S359"/>
  <c r="Q149"/>
  <c r="Q148" s="1"/>
  <c r="P149"/>
  <c r="P148" s="1"/>
  <c r="O223"/>
  <c r="O215" s="1"/>
  <c r="P381"/>
  <c r="P380" s="1"/>
  <c r="S381"/>
  <c r="S380" s="1"/>
  <c r="V149"/>
  <c r="V148" s="1"/>
  <c r="R359"/>
  <c r="Q359"/>
  <c r="P359"/>
  <c r="O359"/>
  <c r="Q333"/>
  <c r="Q332" s="1"/>
  <c r="V322"/>
  <c r="R203"/>
  <c r="R196" s="1"/>
  <c r="P203"/>
  <c r="P196" s="1"/>
  <c r="V282"/>
  <c r="V276" s="1"/>
  <c r="Q282"/>
  <c r="Q276" s="1"/>
  <c r="P322"/>
  <c r="P172"/>
  <c r="O269"/>
  <c r="O282"/>
  <c r="Q316"/>
  <c r="R282"/>
  <c r="R276" s="1"/>
  <c r="S297"/>
  <c r="R149"/>
  <c r="R148" s="1"/>
  <c r="P297"/>
  <c r="O172"/>
  <c r="Q203"/>
  <c r="Q196" s="1"/>
  <c r="S322"/>
  <c r="R322"/>
  <c r="Q322"/>
  <c r="O322"/>
  <c r="V316"/>
  <c r="R316"/>
  <c r="P316"/>
  <c r="O316"/>
  <c r="Q297"/>
  <c r="R297"/>
  <c r="O297"/>
  <c r="P276"/>
  <c r="V269"/>
  <c r="R269"/>
  <c r="Q269"/>
  <c r="S257"/>
  <c r="R257"/>
  <c r="Q257"/>
  <c r="O257"/>
  <c r="Q223"/>
  <c r="Q215" s="1"/>
  <c r="V203"/>
  <c r="V196" s="1"/>
  <c r="O203"/>
  <c r="O196" s="1"/>
  <c r="S172"/>
  <c r="R172"/>
  <c r="Q172"/>
  <c r="V172"/>
  <c r="V155"/>
  <c r="R155"/>
  <c r="P155"/>
  <c r="O155"/>
  <c r="S149"/>
  <c r="S148" s="1"/>
  <c r="O149"/>
  <c r="O148" s="1"/>
  <c r="D134" i="23" l="1"/>
  <c r="AF173" i="21"/>
  <c r="AG194"/>
  <c r="M194" i="23"/>
  <c r="M87"/>
  <c r="M265"/>
  <c r="E88" i="22"/>
  <c r="E87" s="1"/>
  <c r="L33" i="23"/>
  <c r="L32" s="1"/>
  <c r="L27" s="1"/>
  <c r="L11" s="1"/>
  <c r="H134"/>
  <c r="H86" s="1"/>
  <c r="I134"/>
  <c r="L134"/>
  <c r="D88" i="22"/>
  <c r="D87" s="1"/>
  <c r="F88"/>
  <c r="F87" s="1"/>
  <c r="H88"/>
  <c r="H87" s="1"/>
  <c r="K9" s="1"/>
  <c r="G88"/>
  <c r="G87" s="1"/>
  <c r="I228"/>
  <c r="I215"/>
  <c r="I154"/>
  <c r="I153" s="1"/>
  <c r="I146" s="1"/>
  <c r="I265"/>
  <c r="I264" s="1"/>
  <c r="I260" s="1"/>
  <c r="D12"/>
  <c r="M142" i="23"/>
  <c r="E12" i="22"/>
  <c r="F12"/>
  <c r="G12"/>
  <c r="I28"/>
  <c r="I12" s="1"/>
  <c r="D87" i="23"/>
  <c r="I112" i="22"/>
  <c r="I111" s="1"/>
  <c r="I110" s="1"/>
  <c r="M17" i="23"/>
  <c r="M16" s="1"/>
  <c r="M12" s="1"/>
  <c r="K134"/>
  <c r="K86" s="1"/>
  <c r="M34"/>
  <c r="H27"/>
  <c r="H11" s="1"/>
  <c r="J86"/>
  <c r="M141"/>
  <c r="I86"/>
  <c r="H12" i="22"/>
  <c r="AF194" i="21"/>
  <c r="L205" i="23"/>
  <c r="E134"/>
  <c r="E86" s="1"/>
  <c r="M205"/>
  <c r="E27"/>
  <c r="E11" s="1"/>
  <c r="J11"/>
  <c r="K11"/>
  <c r="D86"/>
  <c r="I11"/>
  <c r="D11"/>
  <c r="AK205" i="21"/>
  <c r="R205"/>
  <c r="Z205"/>
  <c r="AG173"/>
  <c r="V132"/>
  <c r="V67" s="1"/>
  <c r="V52" s="1"/>
  <c r="V34" s="1"/>
  <c r="N205"/>
  <c r="I205"/>
  <c r="AF143"/>
  <c r="AF205"/>
  <c r="AG143"/>
  <c r="J205"/>
  <c r="AG205"/>
  <c r="AE132"/>
  <c r="AE67" s="1"/>
  <c r="AE52" s="1"/>
  <c r="AE34" s="1"/>
  <c r="AB132"/>
  <c r="AB67" s="1"/>
  <c r="AI132"/>
  <c r="AI67" s="1"/>
  <c r="AI52" s="1"/>
  <c r="AI34" s="1"/>
  <c r="AA205"/>
  <c r="AG88"/>
  <c r="V205"/>
  <c r="AM159"/>
  <c r="X205"/>
  <c r="AM116"/>
  <c r="AI205"/>
  <c r="AE205"/>
  <c r="S205"/>
  <c r="K132"/>
  <c r="K67" s="1"/>
  <c r="K52" s="1"/>
  <c r="K34" s="1"/>
  <c r="S132"/>
  <c r="S67" s="1"/>
  <c r="S52" s="1"/>
  <c r="S34" s="1"/>
  <c r="AF88"/>
  <c r="R132"/>
  <c r="R67" s="1"/>
  <c r="R52" s="1"/>
  <c r="R34" s="1"/>
  <c r="AM183"/>
  <c r="Z132"/>
  <c r="Z67" s="1"/>
  <c r="Z52" s="1"/>
  <c r="Z34" s="1"/>
  <c r="AD205"/>
  <c r="W205"/>
  <c r="P132"/>
  <c r="P67" s="1"/>
  <c r="P52" s="1"/>
  <c r="P34" s="1"/>
  <c r="L205"/>
  <c r="J132"/>
  <c r="J67" s="1"/>
  <c r="J52" s="1"/>
  <c r="J34" s="1"/>
  <c r="J11" s="1"/>
  <c r="I132"/>
  <c r="I67" s="1"/>
  <c r="I52" s="1"/>
  <c r="I34" s="1"/>
  <c r="U205"/>
  <c r="Q132"/>
  <c r="Q67" s="1"/>
  <c r="Q52" s="1"/>
  <c r="Q34" s="1"/>
  <c r="O132"/>
  <c r="O67" s="1"/>
  <c r="O52" s="1"/>
  <c r="O34" s="1"/>
  <c r="AJ205"/>
  <c r="AJ132"/>
  <c r="AJ67" s="1"/>
  <c r="AJ52" s="1"/>
  <c r="AJ34" s="1"/>
  <c r="AA132"/>
  <c r="AA67" s="1"/>
  <c r="AA52" s="1"/>
  <c r="AA34" s="1"/>
  <c r="L132"/>
  <c r="L67" s="1"/>
  <c r="L52" s="1"/>
  <c r="L34" s="1"/>
  <c r="AM62"/>
  <c r="X132"/>
  <c r="X67" s="1"/>
  <c r="X52" s="1"/>
  <c r="X34" s="1"/>
  <c r="AC205"/>
  <c r="K205"/>
  <c r="Q205"/>
  <c r="W132"/>
  <c r="W67" s="1"/>
  <c r="W52" s="1"/>
  <c r="W34" s="1"/>
  <c r="N132"/>
  <c r="N67" s="1"/>
  <c r="N52" s="1"/>
  <c r="N34" s="1"/>
  <c r="O205"/>
  <c r="H132"/>
  <c r="H67" s="1"/>
  <c r="H52" s="1"/>
  <c r="H34" s="1"/>
  <c r="AC132"/>
  <c r="AC67" s="1"/>
  <c r="AC52" s="1"/>
  <c r="AC34" s="1"/>
  <c r="AK132"/>
  <c r="AK67" s="1"/>
  <c r="AK52" s="1"/>
  <c r="AK34" s="1"/>
  <c r="AM194"/>
  <c r="AM173"/>
  <c r="Y132"/>
  <c r="Y67" s="1"/>
  <c r="Y52" s="1"/>
  <c r="Y34" s="1"/>
  <c r="M132"/>
  <c r="M67" s="1"/>
  <c r="M52" s="1"/>
  <c r="M34" s="1"/>
  <c r="AM56"/>
  <c r="AM88"/>
  <c r="AD132"/>
  <c r="AD67" s="1"/>
  <c r="AD52" s="1"/>
  <c r="AD34" s="1"/>
  <c r="AM143"/>
  <c r="M205"/>
  <c r="P205"/>
  <c r="AM133"/>
  <c r="AM223"/>
  <c r="AB205"/>
  <c r="AF132"/>
  <c r="AH205"/>
  <c r="U132"/>
  <c r="U67" s="1"/>
  <c r="U52" s="1"/>
  <c r="U34" s="1"/>
  <c r="AH132"/>
  <c r="H205"/>
  <c r="Y205"/>
  <c r="AM110"/>
  <c r="AM206"/>
  <c r="V331" i="1"/>
  <c r="P331"/>
  <c r="T205" i="21"/>
  <c r="AM68"/>
  <c r="T132"/>
  <c r="Q331" i="1"/>
  <c r="S331"/>
  <c r="S195"/>
  <c r="R331"/>
  <c r="O331"/>
  <c r="P195"/>
  <c r="V195"/>
  <c r="Q195"/>
  <c r="R195"/>
  <c r="V11" i="21" l="1"/>
  <c r="G11" i="22"/>
  <c r="M33" i="23"/>
  <c r="M32" s="1"/>
  <c r="M27" s="1"/>
  <c r="M11" s="1"/>
  <c r="U11" i="21"/>
  <c r="AK11"/>
  <c r="AG132"/>
  <c r="M134" i="23"/>
  <c r="M86" s="1"/>
  <c r="N11" i="21"/>
  <c r="R11"/>
  <c r="I11"/>
  <c r="Z11"/>
  <c r="L86" i="23"/>
  <c r="L10" s="1"/>
  <c r="I88" i="22"/>
  <c r="I87" s="1"/>
  <c r="I11" s="1"/>
  <c r="D11"/>
  <c r="E11"/>
  <c r="F11"/>
  <c r="K10" i="23"/>
  <c r="J10"/>
  <c r="I10"/>
  <c r="E10"/>
  <c r="H11" i="22"/>
  <c r="H10" i="23"/>
  <c r="D10"/>
  <c r="AE11" i="21"/>
  <c r="L11"/>
  <c r="AA11"/>
  <c r="P11"/>
  <c r="AJ11"/>
  <c r="AI11"/>
  <c r="S11"/>
  <c r="AD11"/>
  <c r="W11"/>
  <c r="K11"/>
  <c r="X11"/>
  <c r="AC11"/>
  <c r="AG67"/>
  <c r="AG52" s="1"/>
  <c r="AG34" s="1"/>
  <c r="M11"/>
  <c r="AM132"/>
  <c r="O11"/>
  <c r="Q11"/>
  <c r="H11"/>
  <c r="Y11"/>
  <c r="AM205"/>
  <c r="AB52"/>
  <c r="AF67"/>
  <c r="AF52" s="1"/>
  <c r="AF34" s="1"/>
  <c r="AH67"/>
  <c r="T67"/>
  <c r="M10" i="23" l="1"/>
  <c r="AH52" i="21"/>
  <c r="AN36"/>
  <c r="AB34"/>
  <c r="AM67"/>
  <c r="T52"/>
  <c r="AB11" l="1"/>
  <c r="AH34"/>
  <c r="AG11" s="1"/>
  <c r="AM52"/>
  <c r="T34"/>
  <c r="AH11" l="1"/>
  <c r="AF11"/>
  <c r="T11"/>
  <c r="AM34"/>
  <c r="M112" i="1" l="1"/>
  <c r="O112"/>
  <c r="O111" s="1"/>
  <c r="P112"/>
  <c r="Q112"/>
  <c r="Q111" s="1"/>
  <c r="R112"/>
  <c r="R111" s="1"/>
  <c r="S112"/>
  <c r="S111" s="1"/>
  <c r="V112"/>
  <c r="V111" s="1"/>
  <c r="O109"/>
  <c r="P109"/>
  <c r="Q109"/>
  <c r="R109"/>
  <c r="S109"/>
  <c r="V109"/>
  <c r="O92"/>
  <c r="P92"/>
  <c r="Q92"/>
  <c r="R92"/>
  <c r="S92"/>
  <c r="V92"/>
  <c r="O88"/>
  <c r="P88"/>
  <c r="Q88"/>
  <c r="R88"/>
  <c r="S88"/>
  <c r="V88"/>
  <c r="O84"/>
  <c r="P84"/>
  <c r="Q84"/>
  <c r="R84"/>
  <c r="S84"/>
  <c r="V84"/>
  <c r="O82"/>
  <c r="P82"/>
  <c r="Q82"/>
  <c r="R82"/>
  <c r="S82"/>
  <c r="V82"/>
  <c r="J74"/>
  <c r="K74"/>
  <c r="L74"/>
  <c r="M74"/>
  <c r="O74"/>
  <c r="P74"/>
  <c r="Q74"/>
  <c r="R74"/>
  <c r="S74"/>
  <c r="V74"/>
  <c r="K71"/>
  <c r="L71"/>
  <c r="M71"/>
  <c r="O71"/>
  <c r="P71"/>
  <c r="Q71"/>
  <c r="R71"/>
  <c r="S71"/>
  <c r="V71"/>
  <c r="O61"/>
  <c r="P61"/>
  <c r="Q61"/>
  <c r="R61"/>
  <c r="S61"/>
  <c r="V61"/>
  <c r="O48"/>
  <c r="P48"/>
  <c r="Q48"/>
  <c r="R48"/>
  <c r="S48"/>
  <c r="J21"/>
  <c r="K21"/>
  <c r="L21"/>
  <c r="M21"/>
  <c r="O21"/>
  <c r="P21"/>
  <c r="Q21"/>
  <c r="R21"/>
  <c r="J15"/>
  <c r="K15"/>
  <c r="L15"/>
  <c r="M15"/>
  <c r="O15"/>
  <c r="P15"/>
  <c r="Q15"/>
  <c r="R15"/>
  <c r="S15"/>
  <c r="V15"/>
  <c r="T17"/>
  <c r="U17"/>
  <c r="T18"/>
  <c r="U18"/>
  <c r="T19"/>
  <c r="U19"/>
  <c r="T22"/>
  <c r="U22"/>
  <c r="T23"/>
  <c r="U23"/>
  <c r="T24"/>
  <c r="U24"/>
  <c r="T25"/>
  <c r="U25"/>
  <c r="T26"/>
  <c r="U26"/>
  <c r="T28"/>
  <c r="U28"/>
  <c r="T29"/>
  <c r="U29"/>
  <c r="T30"/>
  <c r="U30"/>
  <c r="T31"/>
  <c r="U31"/>
  <c r="T32"/>
  <c r="U32"/>
  <c r="T33"/>
  <c r="U33"/>
  <c r="T34"/>
  <c r="U34"/>
  <c r="T47"/>
  <c r="U47"/>
  <c r="T49"/>
  <c r="U49"/>
  <c r="T50"/>
  <c r="U50"/>
  <c r="T51"/>
  <c r="U51"/>
  <c r="T52"/>
  <c r="U52"/>
  <c r="T53"/>
  <c r="U53"/>
  <c r="T54"/>
  <c r="U54"/>
  <c r="T55"/>
  <c r="U55"/>
  <c r="T56"/>
  <c r="U56"/>
  <c r="T57"/>
  <c r="U57"/>
  <c r="T58"/>
  <c r="U58"/>
  <c r="T60"/>
  <c r="U60"/>
  <c r="T62"/>
  <c r="U62"/>
  <c r="T63"/>
  <c r="U63"/>
  <c r="T64"/>
  <c r="U64"/>
  <c r="T65"/>
  <c r="U65"/>
  <c r="T66"/>
  <c r="U66"/>
  <c r="T67"/>
  <c r="U67"/>
  <c r="T68"/>
  <c r="U68"/>
  <c r="T72"/>
  <c r="T71" s="1"/>
  <c r="U72"/>
  <c r="U71" s="1"/>
  <c r="T75"/>
  <c r="U75"/>
  <c r="T76"/>
  <c r="U76"/>
  <c r="T77"/>
  <c r="U77"/>
  <c r="T78"/>
  <c r="U78"/>
  <c r="T79"/>
  <c r="U79"/>
  <c r="T80"/>
  <c r="U80"/>
  <c r="T81"/>
  <c r="U81"/>
  <c r="T83"/>
  <c r="T82" s="1"/>
  <c r="U83"/>
  <c r="U82" s="1"/>
  <c r="T85"/>
  <c r="T84" s="1"/>
  <c r="U85"/>
  <c r="U84" s="1"/>
  <c r="T89"/>
  <c r="U89"/>
  <c r="T90"/>
  <c r="U90"/>
  <c r="T91"/>
  <c r="U91"/>
  <c r="T93"/>
  <c r="U93"/>
  <c r="T94"/>
  <c r="U94"/>
  <c r="T95"/>
  <c r="U95"/>
  <c r="T96"/>
  <c r="U96"/>
  <c r="T97"/>
  <c r="U97"/>
  <c r="T98"/>
  <c r="U98"/>
  <c r="T99"/>
  <c r="U99"/>
  <c r="T100"/>
  <c r="U100"/>
  <c r="T101"/>
  <c r="U101"/>
  <c r="T102"/>
  <c r="U102"/>
  <c r="T103"/>
  <c r="U103"/>
  <c r="T104"/>
  <c r="U104"/>
  <c r="T105"/>
  <c r="U105"/>
  <c r="T106"/>
  <c r="U106"/>
  <c r="T107"/>
  <c r="U107"/>
  <c r="T110"/>
  <c r="T109" s="1"/>
  <c r="U110"/>
  <c r="U109" s="1"/>
  <c r="T113"/>
  <c r="U113"/>
  <c r="T114"/>
  <c r="U114"/>
  <c r="T115"/>
  <c r="U115"/>
  <c r="T116"/>
  <c r="U116"/>
  <c r="T117"/>
  <c r="U117"/>
  <c r="T118"/>
  <c r="U118"/>
  <c r="T119"/>
  <c r="U119"/>
  <c r="T120"/>
  <c r="U120"/>
  <c r="T121"/>
  <c r="U121"/>
  <c r="T122"/>
  <c r="U122"/>
  <c r="T123"/>
  <c r="U123"/>
  <c r="T124"/>
  <c r="U124"/>
  <c r="T125"/>
  <c r="U125"/>
  <c r="T126"/>
  <c r="U126"/>
  <c r="T127"/>
  <c r="U127"/>
  <c r="T128"/>
  <c r="U128"/>
  <c r="T129"/>
  <c r="U129"/>
  <c r="T130"/>
  <c r="U130"/>
  <c r="T131"/>
  <c r="U131"/>
  <c r="T132"/>
  <c r="U132"/>
  <c r="T133"/>
  <c r="U133"/>
  <c r="T134"/>
  <c r="U134"/>
  <c r="T135"/>
  <c r="U135"/>
  <c r="T137"/>
  <c r="U137"/>
  <c r="T138"/>
  <c r="U138"/>
  <c r="T139"/>
  <c r="U139"/>
  <c r="T140"/>
  <c r="U140"/>
  <c r="T141"/>
  <c r="U141"/>
  <c r="T143"/>
  <c r="U143"/>
  <c r="T144"/>
  <c r="U144"/>
  <c r="T145"/>
  <c r="U145"/>
  <c r="T146"/>
  <c r="U146"/>
  <c r="T147"/>
  <c r="U147"/>
  <c r="T151"/>
  <c r="U151"/>
  <c r="T152"/>
  <c r="U152"/>
  <c r="T154"/>
  <c r="T153" s="1"/>
  <c r="U154"/>
  <c r="U153" s="1"/>
  <c r="T157"/>
  <c r="U157"/>
  <c r="T158"/>
  <c r="U158"/>
  <c r="T161"/>
  <c r="U161"/>
  <c r="T162"/>
  <c r="U162"/>
  <c r="T163"/>
  <c r="U163"/>
  <c r="T164"/>
  <c r="U164"/>
  <c r="T165"/>
  <c r="U165"/>
  <c r="T166"/>
  <c r="U166"/>
  <c r="T167"/>
  <c r="U167"/>
  <c r="T168"/>
  <c r="U168"/>
  <c r="T169"/>
  <c r="U169"/>
  <c r="T171"/>
  <c r="T170" s="1"/>
  <c r="U171"/>
  <c r="U170" s="1"/>
  <c r="T174"/>
  <c r="U174"/>
  <c r="T175"/>
  <c r="U175"/>
  <c r="T178"/>
  <c r="U178"/>
  <c r="T179"/>
  <c r="U179"/>
  <c r="T183"/>
  <c r="U183"/>
  <c r="T184"/>
  <c r="U184"/>
  <c r="T188"/>
  <c r="U188"/>
  <c r="T189"/>
  <c r="U189"/>
  <c r="T192"/>
  <c r="U192"/>
  <c r="T193"/>
  <c r="U193"/>
  <c r="T194"/>
  <c r="U194"/>
  <c r="T198"/>
  <c r="U198"/>
  <c r="T199"/>
  <c r="U199"/>
  <c r="T200"/>
  <c r="U200"/>
  <c r="T201"/>
  <c r="U201"/>
  <c r="T202"/>
  <c r="U202"/>
  <c r="T205"/>
  <c r="U205"/>
  <c r="T206"/>
  <c r="U206"/>
  <c r="T207"/>
  <c r="U207"/>
  <c r="T208"/>
  <c r="U208"/>
  <c r="T209"/>
  <c r="U209"/>
  <c r="T211"/>
  <c r="T210" s="1"/>
  <c r="U211"/>
  <c r="U210" s="1"/>
  <c r="T214"/>
  <c r="T213" s="1"/>
  <c r="T212" s="1"/>
  <c r="U214"/>
  <c r="U213" s="1"/>
  <c r="U212" s="1"/>
  <c r="T217"/>
  <c r="U217"/>
  <c r="T218"/>
  <c r="U218"/>
  <c r="T219"/>
  <c r="U219"/>
  <c r="T220"/>
  <c r="U220"/>
  <c r="T221"/>
  <c r="U221"/>
  <c r="T222"/>
  <c r="U222"/>
  <c r="T225"/>
  <c r="U225"/>
  <c r="T226"/>
  <c r="U226"/>
  <c r="T227"/>
  <c r="U227"/>
  <c r="T228"/>
  <c r="U228"/>
  <c r="T229"/>
  <c r="U229"/>
  <c r="T230"/>
  <c r="U230"/>
  <c r="T231"/>
  <c r="U231"/>
  <c r="T232"/>
  <c r="U232"/>
  <c r="T233"/>
  <c r="U233"/>
  <c r="T234"/>
  <c r="U234"/>
  <c r="T235"/>
  <c r="U235"/>
  <c r="T236"/>
  <c r="U236"/>
  <c r="T237"/>
  <c r="U237"/>
  <c r="T239"/>
  <c r="U239"/>
  <c r="T240"/>
  <c r="U240"/>
  <c r="T241"/>
  <c r="U241"/>
  <c r="T243"/>
  <c r="U243"/>
  <c r="T244"/>
  <c r="U244"/>
  <c r="T245"/>
  <c r="U245"/>
  <c r="T246"/>
  <c r="U246"/>
  <c r="T247"/>
  <c r="U247"/>
  <c r="T251"/>
  <c r="T250" s="1"/>
  <c r="T249" s="1"/>
  <c r="T248" s="1"/>
  <c r="U251"/>
  <c r="U250" s="1"/>
  <c r="U249" s="1"/>
  <c r="U248" s="1"/>
  <c r="T255"/>
  <c r="T254" s="1"/>
  <c r="T253" s="1"/>
  <c r="T252" s="1"/>
  <c r="U255"/>
  <c r="U254" s="1"/>
  <c r="U253" s="1"/>
  <c r="U252" s="1"/>
  <c r="T256"/>
  <c r="U256"/>
  <c r="T259"/>
  <c r="T258" s="1"/>
  <c r="U259"/>
  <c r="U258" s="1"/>
  <c r="T262"/>
  <c r="T261" s="1"/>
  <c r="T260" s="1"/>
  <c r="U262"/>
  <c r="U261" s="1"/>
  <c r="U260" s="1"/>
  <c r="T263"/>
  <c r="U263"/>
  <c r="T267"/>
  <c r="U267"/>
  <c r="T268"/>
  <c r="U268"/>
  <c r="T271"/>
  <c r="T270" s="1"/>
  <c r="U271"/>
  <c r="U270" s="1"/>
  <c r="T274"/>
  <c r="U274"/>
  <c r="T275"/>
  <c r="U275"/>
  <c r="T278"/>
  <c r="U278"/>
  <c r="T279"/>
  <c r="U279"/>
  <c r="T280"/>
  <c r="U280"/>
  <c r="T281"/>
  <c r="U281"/>
  <c r="T284"/>
  <c r="U284"/>
  <c r="T285"/>
  <c r="U285"/>
  <c r="T286"/>
  <c r="U286"/>
  <c r="T287"/>
  <c r="U287"/>
  <c r="T288"/>
  <c r="U288"/>
  <c r="T289"/>
  <c r="U289"/>
  <c r="T290"/>
  <c r="U290"/>
  <c r="T291"/>
  <c r="U291"/>
  <c r="T292"/>
  <c r="U292"/>
  <c r="T293"/>
  <c r="U293"/>
  <c r="T295"/>
  <c r="T294" s="1"/>
  <c r="U295"/>
  <c r="U294" s="1"/>
  <c r="T296"/>
  <c r="U296"/>
  <c r="T299"/>
  <c r="U299"/>
  <c r="T300"/>
  <c r="U300"/>
  <c r="T303"/>
  <c r="U303"/>
  <c r="T304"/>
  <c r="U304"/>
  <c r="T305"/>
  <c r="U305"/>
  <c r="T306"/>
  <c r="U306"/>
  <c r="T307"/>
  <c r="U307"/>
  <c r="T308"/>
  <c r="U308"/>
  <c r="T309"/>
  <c r="U309"/>
  <c r="T310"/>
  <c r="U310"/>
  <c r="T311"/>
  <c r="U311"/>
  <c r="T313"/>
  <c r="U313"/>
  <c r="T314"/>
  <c r="U314"/>
  <c r="T315"/>
  <c r="U315"/>
  <c r="T318"/>
  <c r="T317" s="1"/>
  <c r="U318"/>
  <c r="U317" s="1"/>
  <c r="T321"/>
  <c r="T320" s="1"/>
  <c r="T319" s="1"/>
  <c r="U321"/>
  <c r="U320" s="1"/>
  <c r="U319" s="1"/>
  <c r="T324"/>
  <c r="T323" s="1"/>
  <c r="U324"/>
  <c r="U323" s="1"/>
  <c r="T327"/>
  <c r="U327"/>
  <c r="T328"/>
  <c r="U328"/>
  <c r="T329"/>
  <c r="U329"/>
  <c r="T330"/>
  <c r="U330"/>
  <c r="T335"/>
  <c r="U335"/>
  <c r="T336"/>
  <c r="U336"/>
  <c r="T337"/>
  <c r="U337"/>
  <c r="T338"/>
  <c r="U338"/>
  <c r="T340"/>
  <c r="U340"/>
  <c r="T341"/>
  <c r="U341"/>
  <c r="T342"/>
  <c r="U342"/>
  <c r="T343"/>
  <c r="U343"/>
  <c r="T344"/>
  <c r="U344"/>
  <c r="T345"/>
  <c r="U345"/>
  <c r="T346"/>
  <c r="U346"/>
  <c r="T349"/>
  <c r="U349"/>
  <c r="T350"/>
  <c r="U350"/>
  <c r="T351"/>
  <c r="U351"/>
  <c r="T352"/>
  <c r="U352"/>
  <c r="T353"/>
  <c r="U353"/>
  <c r="T354"/>
  <c r="U354"/>
  <c r="T355"/>
  <c r="U355"/>
  <c r="T357"/>
  <c r="U357"/>
  <c r="T358"/>
  <c r="U358"/>
  <c r="T361"/>
  <c r="U361"/>
  <c r="T362"/>
  <c r="U362"/>
  <c r="T365"/>
  <c r="U365"/>
  <c r="T366"/>
  <c r="U366"/>
  <c r="T367"/>
  <c r="U367"/>
  <c r="T368"/>
  <c r="U368"/>
  <c r="T369"/>
  <c r="U369"/>
  <c r="T370"/>
  <c r="U370"/>
  <c r="T371"/>
  <c r="U371"/>
  <c r="T372"/>
  <c r="U372"/>
  <c r="T373"/>
  <c r="U373"/>
  <c r="T374"/>
  <c r="U374"/>
  <c r="T375"/>
  <c r="U375"/>
  <c r="T376"/>
  <c r="U376"/>
  <c r="T379"/>
  <c r="T378" s="1"/>
  <c r="T377" s="1"/>
  <c r="U379"/>
  <c r="U378" s="1"/>
  <c r="U377" s="1"/>
  <c r="T383"/>
  <c r="U383"/>
  <c r="T384"/>
  <c r="U384"/>
  <c r="T385"/>
  <c r="U385"/>
  <c r="T386"/>
  <c r="U386"/>
  <c r="T388"/>
  <c r="T387" s="1"/>
  <c r="U388"/>
  <c r="U387" s="1"/>
  <c r="T389"/>
  <c r="U389"/>
  <c r="U16"/>
  <c r="T16"/>
  <c r="N60"/>
  <c r="N389"/>
  <c r="N17"/>
  <c r="N18"/>
  <c r="N19"/>
  <c r="N22"/>
  <c r="N23"/>
  <c r="N24"/>
  <c r="N25"/>
  <c r="N26"/>
  <c r="N28"/>
  <c r="N29"/>
  <c r="N30"/>
  <c r="N31"/>
  <c r="N32"/>
  <c r="N33"/>
  <c r="N34"/>
  <c r="N47"/>
  <c r="N49"/>
  <c r="N50"/>
  <c r="N51"/>
  <c r="N52"/>
  <c r="N53"/>
  <c r="N54"/>
  <c r="N55"/>
  <c r="N56"/>
  <c r="N57"/>
  <c r="N58"/>
  <c r="N62"/>
  <c r="N63"/>
  <c r="N64"/>
  <c r="N65"/>
  <c r="N66"/>
  <c r="N67"/>
  <c r="N68"/>
  <c r="N72"/>
  <c r="N71" s="1"/>
  <c r="N75"/>
  <c r="N76"/>
  <c r="N77"/>
  <c r="N78"/>
  <c r="N79"/>
  <c r="N80"/>
  <c r="N81"/>
  <c r="N83"/>
  <c r="N82" s="1"/>
  <c r="N85"/>
  <c r="N84" s="1"/>
  <c r="N89"/>
  <c r="N90"/>
  <c r="N91"/>
  <c r="N93"/>
  <c r="N94"/>
  <c r="N95"/>
  <c r="N96"/>
  <c r="N97"/>
  <c r="N98"/>
  <c r="N99"/>
  <c r="N100"/>
  <c r="N101"/>
  <c r="N102"/>
  <c r="N103"/>
  <c r="N104"/>
  <c r="N105"/>
  <c r="N106"/>
  <c r="N107"/>
  <c r="N110"/>
  <c r="N109" s="1"/>
  <c r="N113"/>
  <c r="N114"/>
  <c r="N115"/>
  <c r="N116"/>
  <c r="N117"/>
  <c r="N118"/>
  <c r="N119"/>
  <c r="N120"/>
  <c r="N121"/>
  <c r="N122"/>
  <c r="N123"/>
  <c r="N124"/>
  <c r="N125"/>
  <c r="N126"/>
  <c r="N127"/>
  <c r="N128"/>
  <c r="N129"/>
  <c r="N130"/>
  <c r="N131"/>
  <c r="N132"/>
  <c r="N133"/>
  <c r="N134"/>
  <c r="N135"/>
  <c r="N137"/>
  <c r="N138"/>
  <c r="N139"/>
  <c r="N140"/>
  <c r="N141"/>
  <c r="N143"/>
  <c r="N144"/>
  <c r="N145"/>
  <c r="N146"/>
  <c r="N147"/>
  <c r="N151"/>
  <c r="N152"/>
  <c r="N154"/>
  <c r="N153" s="1"/>
  <c r="N157"/>
  <c r="N158"/>
  <c r="N161"/>
  <c r="N162"/>
  <c r="N163"/>
  <c r="N164"/>
  <c r="N165"/>
  <c r="N166"/>
  <c r="N167"/>
  <c r="N168"/>
  <c r="N169"/>
  <c r="N171"/>
  <c r="N170" s="1"/>
  <c r="N174"/>
  <c r="N175"/>
  <c r="N178"/>
  <c r="N179"/>
  <c r="N183"/>
  <c r="N184"/>
  <c r="N188"/>
  <c r="N189"/>
  <c r="N192"/>
  <c r="N193"/>
  <c r="N194"/>
  <c r="N198"/>
  <c r="N199"/>
  <c r="N200"/>
  <c r="N201"/>
  <c r="N202"/>
  <c r="N205"/>
  <c r="N206"/>
  <c r="N207"/>
  <c r="N208"/>
  <c r="N209"/>
  <c r="N211"/>
  <c r="N210" s="1"/>
  <c r="N214"/>
  <c r="N213" s="1"/>
  <c r="N212" s="1"/>
  <c r="N217"/>
  <c r="N218"/>
  <c r="N219"/>
  <c r="N220"/>
  <c r="N221"/>
  <c r="N222"/>
  <c r="N225"/>
  <c r="N226"/>
  <c r="N227"/>
  <c r="N228"/>
  <c r="N229"/>
  <c r="N230"/>
  <c r="N231"/>
  <c r="N232"/>
  <c r="N233"/>
  <c r="N234"/>
  <c r="N235"/>
  <c r="N236"/>
  <c r="N237"/>
  <c r="N239"/>
  <c r="N240"/>
  <c r="N241"/>
  <c r="N243"/>
  <c r="N244"/>
  <c r="N245"/>
  <c r="N246"/>
  <c r="N247"/>
  <c r="N251"/>
  <c r="N250" s="1"/>
  <c r="N249" s="1"/>
  <c r="N248" s="1"/>
  <c r="N255"/>
  <c r="N254" s="1"/>
  <c r="N253" s="1"/>
  <c r="N252" s="1"/>
  <c r="N256"/>
  <c r="N259"/>
  <c r="N258" s="1"/>
  <c r="N262"/>
  <c r="N261" s="1"/>
  <c r="N260" s="1"/>
  <c r="N263"/>
  <c r="N267"/>
  <c r="N268"/>
  <c r="N271"/>
  <c r="N270" s="1"/>
  <c r="N274"/>
  <c r="N275"/>
  <c r="N280"/>
  <c r="N281"/>
  <c r="N284"/>
  <c r="N285"/>
  <c r="N286"/>
  <c r="N287"/>
  <c r="N288"/>
  <c r="N289"/>
  <c r="N290"/>
  <c r="N291"/>
  <c r="N292"/>
  <c r="N293"/>
  <c r="N295"/>
  <c r="N294" s="1"/>
  <c r="N296"/>
  <c r="N299"/>
  <c r="N300"/>
  <c r="N303"/>
  <c r="N304"/>
  <c r="N305"/>
  <c r="N306"/>
  <c r="N307"/>
  <c r="N308"/>
  <c r="N309"/>
  <c r="N310"/>
  <c r="N311"/>
  <c r="N313"/>
  <c r="N314"/>
  <c r="N315"/>
  <c r="N318"/>
  <c r="N317" s="1"/>
  <c r="N321"/>
  <c r="N320" s="1"/>
  <c r="N319" s="1"/>
  <c r="N324"/>
  <c r="N323" s="1"/>
  <c r="N327"/>
  <c r="N328"/>
  <c r="N329"/>
  <c r="N330"/>
  <c r="N335"/>
  <c r="N336"/>
  <c r="N337"/>
  <c r="N338"/>
  <c r="N340"/>
  <c r="N341"/>
  <c r="N342"/>
  <c r="N343"/>
  <c r="N344"/>
  <c r="N345"/>
  <c r="N346"/>
  <c r="N349"/>
  <c r="N350"/>
  <c r="N351"/>
  <c r="N352"/>
  <c r="N353"/>
  <c r="N354"/>
  <c r="N355"/>
  <c r="N357"/>
  <c r="N358"/>
  <c r="N361"/>
  <c r="N362"/>
  <c r="N365"/>
  <c r="N366"/>
  <c r="N367"/>
  <c r="N368"/>
  <c r="N369"/>
  <c r="N370"/>
  <c r="N371"/>
  <c r="N372"/>
  <c r="N373"/>
  <c r="N374"/>
  <c r="N375"/>
  <c r="N376"/>
  <c r="N379"/>
  <c r="N378" s="1"/>
  <c r="N377" s="1"/>
  <c r="N383"/>
  <c r="N384"/>
  <c r="N385"/>
  <c r="N386"/>
  <c r="N388"/>
  <c r="N387" s="1"/>
  <c r="N16"/>
  <c r="E17" i="5"/>
  <c r="J17"/>
  <c r="K17"/>
  <c r="E14"/>
  <c r="F14"/>
  <c r="H14"/>
  <c r="I14"/>
  <c r="J14"/>
  <c r="K14"/>
  <c r="L21"/>
  <c r="L20" s="1"/>
  <c r="L19"/>
  <c r="L18"/>
  <c r="L16"/>
  <c r="L15"/>
  <c r="F9"/>
  <c r="G9"/>
  <c r="H9"/>
  <c r="I9"/>
  <c r="L9"/>
  <c r="E11"/>
  <c r="E9" s="1"/>
  <c r="T15" i="1" l="1"/>
  <c r="L17" i="5"/>
  <c r="L14"/>
  <c r="U48" i="1"/>
  <c r="V87"/>
  <c r="V86" s="1"/>
  <c r="V73"/>
  <c r="S73"/>
  <c r="S70" s="1"/>
  <c r="N142"/>
  <c r="R73"/>
  <c r="R70" s="1"/>
  <c r="S87"/>
  <c r="S86" s="1"/>
  <c r="U316"/>
  <c r="N27"/>
  <c r="U298"/>
  <c r="U27"/>
  <c r="T27"/>
  <c r="U191"/>
  <c r="U190" s="1"/>
  <c r="U15"/>
  <c r="U150"/>
  <c r="U149" s="1"/>
  <c r="U148" s="1"/>
  <c r="T150"/>
  <c r="T149" s="1"/>
  <c r="T148" s="1"/>
  <c r="U334"/>
  <c r="N266"/>
  <c r="N265" s="1"/>
  <c r="N264" s="1"/>
  <c r="N191"/>
  <c r="N190" s="1"/>
  <c r="U257"/>
  <c r="N48"/>
  <c r="U142"/>
  <c r="T142"/>
  <c r="N364"/>
  <c r="N363" s="1"/>
  <c r="T356"/>
  <c r="U92"/>
  <c r="U74"/>
  <c r="U73" s="1"/>
  <c r="U70" s="1"/>
  <c r="N360"/>
  <c r="N92"/>
  <c r="N74"/>
  <c r="N73" s="1"/>
  <c r="N70" s="1"/>
  <c r="T334"/>
  <c r="T92"/>
  <c r="T74"/>
  <c r="T73" s="1"/>
  <c r="T70" s="1"/>
  <c r="N326"/>
  <c r="N325" s="1"/>
  <c r="N322" s="1"/>
  <c r="N356"/>
  <c r="U382"/>
  <c r="U381" s="1"/>
  <c r="U380" s="1"/>
  <c r="T382"/>
  <c r="T381" s="1"/>
  <c r="T380" s="1"/>
  <c r="T316"/>
  <c r="T48"/>
  <c r="V108"/>
  <c r="N316"/>
  <c r="N88"/>
  <c r="U364"/>
  <c r="U363" s="1"/>
  <c r="U348"/>
  <c r="U347" s="1"/>
  <c r="U339"/>
  <c r="U61"/>
  <c r="N348"/>
  <c r="N347" s="1"/>
  <c r="N339"/>
  <c r="N312"/>
  <c r="N204"/>
  <c r="N203" s="1"/>
  <c r="N182"/>
  <c r="N181" s="1"/>
  <c r="N180" s="1"/>
  <c r="T364"/>
  <c r="T363" s="1"/>
  <c r="T348"/>
  <c r="T347" s="1"/>
  <c r="T339"/>
  <c r="T312"/>
  <c r="T273"/>
  <c r="T272" s="1"/>
  <c r="T269" s="1"/>
  <c r="T238"/>
  <c r="T187"/>
  <c r="T186" s="1"/>
  <c r="T185" s="1"/>
  <c r="T173"/>
  <c r="T156"/>
  <c r="T61"/>
  <c r="U88"/>
  <c r="T88"/>
  <c r="U360"/>
  <c r="U182"/>
  <c r="U181" s="1"/>
  <c r="U180" s="1"/>
  <c r="N334"/>
  <c r="N273"/>
  <c r="N272" s="1"/>
  <c r="N269" s="1"/>
  <c r="N61"/>
  <c r="T360"/>
  <c r="N382"/>
  <c r="N381" s="1"/>
  <c r="N380" s="1"/>
  <c r="U356"/>
  <c r="U112"/>
  <c r="T112"/>
  <c r="N112"/>
  <c r="T298"/>
  <c r="T283"/>
  <c r="T282" s="1"/>
  <c r="T257"/>
  <c r="T224"/>
  <c r="T216"/>
  <c r="T197"/>
  <c r="T136"/>
  <c r="U326"/>
  <c r="U204"/>
  <c r="U203" s="1"/>
  <c r="N257"/>
  <c r="N238"/>
  <c r="N187"/>
  <c r="N186" s="1"/>
  <c r="N185" s="1"/>
  <c r="T326"/>
  <c r="T325" s="1"/>
  <c r="T322" s="1"/>
  <c r="T204"/>
  <c r="T203" s="1"/>
  <c r="T182"/>
  <c r="T181" s="1"/>
  <c r="T180" s="1"/>
  <c r="N302"/>
  <c r="N301" s="1"/>
  <c r="N224"/>
  <c r="U242"/>
  <c r="T242"/>
  <c r="N283"/>
  <c r="N282" s="1"/>
  <c r="U266"/>
  <c r="U265" s="1"/>
  <c r="U264" s="1"/>
  <c r="U177"/>
  <c r="U176" s="1"/>
  <c r="U160"/>
  <c r="U159" s="1"/>
  <c r="N298"/>
  <c r="N177"/>
  <c r="N176" s="1"/>
  <c r="N160"/>
  <c r="N159" s="1"/>
  <c r="T266"/>
  <c r="T265" s="1"/>
  <c r="T264" s="1"/>
  <c r="T191"/>
  <c r="T190" s="1"/>
  <c r="T177"/>
  <c r="T176" s="1"/>
  <c r="T160"/>
  <c r="T159" s="1"/>
  <c r="U302"/>
  <c r="U301" s="1"/>
  <c r="U277"/>
  <c r="N173"/>
  <c r="N156"/>
  <c r="T302"/>
  <c r="T301" s="1"/>
  <c r="T277"/>
  <c r="N216"/>
  <c r="N197"/>
  <c r="N136"/>
  <c r="U312"/>
  <c r="U273"/>
  <c r="U272" s="1"/>
  <c r="U269" s="1"/>
  <c r="U238"/>
  <c r="U187"/>
  <c r="U186" s="1"/>
  <c r="U185" s="1"/>
  <c r="U173"/>
  <c r="U156"/>
  <c r="N242"/>
  <c r="N150"/>
  <c r="N149" s="1"/>
  <c r="N148" s="1"/>
  <c r="U283"/>
  <c r="U282" s="1"/>
  <c r="U224"/>
  <c r="U216"/>
  <c r="U197"/>
  <c r="U136"/>
  <c r="S108"/>
  <c r="P111"/>
  <c r="P108" s="1"/>
  <c r="R108"/>
  <c r="Q108"/>
  <c r="O108"/>
  <c r="Q87"/>
  <c r="Q86" s="1"/>
  <c r="R87"/>
  <c r="R86" s="1"/>
  <c r="P87"/>
  <c r="P86" s="1"/>
  <c r="O87"/>
  <c r="O86" s="1"/>
  <c r="Q73"/>
  <c r="Q70" s="1"/>
  <c r="O73"/>
  <c r="O70" s="1"/>
  <c r="P73"/>
  <c r="P70" s="1"/>
  <c r="V70"/>
  <c r="S21"/>
  <c r="S20" s="1"/>
  <c r="S14" s="1"/>
  <c r="V21"/>
  <c r="V20" s="1"/>
  <c r="V14" s="1"/>
  <c r="U21"/>
  <c r="Q20"/>
  <c r="Q14" s="1"/>
  <c r="T21"/>
  <c r="N15"/>
  <c r="N21"/>
  <c r="K20"/>
  <c r="K14" s="1"/>
  <c r="P20"/>
  <c r="P14" s="1"/>
  <c r="R20"/>
  <c r="R14" s="1"/>
  <c r="O20"/>
  <c r="O14" s="1"/>
  <c r="M20"/>
  <c r="M14" s="1"/>
  <c r="L20"/>
  <c r="L14" s="1"/>
  <c r="J20"/>
  <c r="J14" s="1"/>
  <c r="E8" i="5"/>
  <c r="L8"/>
  <c r="N297" i="1" l="1"/>
  <c r="U196"/>
  <c r="T172"/>
  <c r="N196"/>
  <c r="T87"/>
  <c r="T86" s="1"/>
  <c r="U333"/>
  <c r="U332" s="1"/>
  <c r="P69"/>
  <c r="P59" s="1"/>
  <c r="P46" s="1"/>
  <c r="N87"/>
  <c r="N86" s="1"/>
  <c r="N359"/>
  <c r="T223"/>
  <c r="T215" s="1"/>
  <c r="T155"/>
  <c r="T276"/>
  <c r="S69"/>
  <c r="S59" s="1"/>
  <c r="S46" s="1"/>
  <c r="R69"/>
  <c r="R59" s="1"/>
  <c r="R46" s="1"/>
  <c r="T333"/>
  <c r="T332" s="1"/>
  <c r="U223"/>
  <c r="U215" s="1"/>
  <c r="U276"/>
  <c r="T359"/>
  <c r="U87"/>
  <c r="U86" s="1"/>
  <c r="T297"/>
  <c r="U325"/>
  <c r="U322" s="1"/>
  <c r="T20"/>
  <c r="T14" s="1"/>
  <c r="V69"/>
  <c r="V59" s="1"/>
  <c r="V46" s="1"/>
  <c r="V13" s="1"/>
  <c r="N333"/>
  <c r="N332" s="1"/>
  <c r="T111"/>
  <c r="T108" s="1"/>
  <c r="U359"/>
  <c r="U111"/>
  <c r="U108" s="1"/>
  <c r="N111"/>
  <c r="N108" s="1"/>
  <c r="U155"/>
  <c r="N155"/>
  <c r="T196"/>
  <c r="N172"/>
  <c r="N223"/>
  <c r="N215" s="1"/>
  <c r="U297"/>
  <c r="U172"/>
  <c r="Q69"/>
  <c r="Q59" s="1"/>
  <c r="Q46" s="1"/>
  <c r="U20"/>
  <c r="U14" s="1"/>
  <c r="N20"/>
  <c r="N14" s="1"/>
  <c r="D11" i="5"/>
  <c r="D12"/>
  <c r="K12" s="1"/>
  <c r="D13"/>
  <c r="J13" s="1"/>
  <c r="J9" s="1"/>
  <c r="J8" s="1"/>
  <c r="D16"/>
  <c r="D18"/>
  <c r="D19"/>
  <c r="D21"/>
  <c r="D22"/>
  <c r="D10"/>
  <c r="I20"/>
  <c r="I17" s="1"/>
  <c r="I8" s="1"/>
  <c r="AO18" i="6"/>
  <c r="AP18" s="1"/>
  <c r="AO21"/>
  <c r="AP21"/>
  <c r="AO24"/>
  <c r="AP24" s="1"/>
  <c r="AO27"/>
  <c r="AP27" s="1"/>
  <c r="AO30"/>
  <c r="AP30" s="1"/>
  <c r="AO32"/>
  <c r="AP32"/>
  <c r="AO36"/>
  <c r="AP36" s="1"/>
  <c r="AO37"/>
  <c r="AP37" s="1"/>
  <c r="AO40"/>
  <c r="AP40" s="1"/>
  <c r="AO41"/>
  <c r="AP41" s="1"/>
  <c r="AO44"/>
  <c r="AP44" s="1"/>
  <c r="AO47"/>
  <c r="AP47" s="1"/>
  <c r="AO50"/>
  <c r="AP50" s="1"/>
  <c r="AO52"/>
  <c r="AP52" s="1"/>
  <c r="AO53"/>
  <c r="AP53" s="1"/>
  <c r="AO57"/>
  <c r="AP57" s="1"/>
  <c r="AO61"/>
  <c r="AP61" s="1"/>
  <c r="AO65"/>
  <c r="AP65" s="1"/>
  <c r="AO66"/>
  <c r="AP66" s="1"/>
  <c r="AO70"/>
  <c r="AP70" s="1"/>
  <c r="AO71"/>
  <c r="AP71" s="1"/>
  <c r="AO72"/>
  <c r="AP72" s="1"/>
  <c r="AO73"/>
  <c r="AP73" s="1"/>
  <c r="AO74"/>
  <c r="AP74" s="1"/>
  <c r="AO75"/>
  <c r="AP75" s="1"/>
  <c r="AO76"/>
  <c r="AP76" s="1"/>
  <c r="AO77"/>
  <c r="AP77" s="1"/>
  <c r="AO80"/>
  <c r="AP80" s="1"/>
  <c r="AO84"/>
  <c r="AP84" s="1"/>
  <c r="AO87"/>
  <c r="AP87" s="1"/>
  <c r="AO88"/>
  <c r="AP88" s="1"/>
  <c r="AO89"/>
  <c r="AP89"/>
  <c r="AO90"/>
  <c r="AP90" s="1"/>
  <c r="AO91"/>
  <c r="AP91" s="1"/>
  <c r="AO92"/>
  <c r="AP92" s="1"/>
  <c r="AO93"/>
  <c r="AP93" s="1"/>
  <c r="AO94"/>
  <c r="AP94" s="1"/>
  <c r="AO95"/>
  <c r="AO96"/>
  <c r="AP96" s="1"/>
  <c r="AO97"/>
  <c r="AP97" s="1"/>
  <c r="AO98"/>
  <c r="AP98" s="1"/>
  <c r="AO101"/>
  <c r="AP101" s="1"/>
  <c r="AO102"/>
  <c r="AP102" s="1"/>
  <c r="AO103"/>
  <c r="AP103" s="1"/>
  <c r="AO104"/>
  <c r="AP104" s="1"/>
  <c r="AO105"/>
  <c r="AP105" s="1"/>
  <c r="AO106"/>
  <c r="AP106" s="1"/>
  <c r="AO107"/>
  <c r="AP107" s="1"/>
  <c r="AO108"/>
  <c r="AP108" s="1"/>
  <c r="AO109"/>
  <c r="AP109" s="1"/>
  <c r="AO111"/>
  <c r="AP111" s="1"/>
  <c r="AO112"/>
  <c r="AP112" s="1"/>
  <c r="AO113"/>
  <c r="AP113" s="1"/>
  <c r="AO115"/>
  <c r="AP115" s="1"/>
  <c r="AO118"/>
  <c r="AP118" s="1"/>
  <c r="AO121"/>
  <c r="AP121" s="1"/>
  <c r="AO124"/>
  <c r="AP124" s="1"/>
  <c r="AO127"/>
  <c r="AP127" s="1"/>
  <c r="AO130"/>
  <c r="AP130" s="1"/>
  <c r="AO131"/>
  <c r="AP131" s="1"/>
  <c r="AO132"/>
  <c r="AP132" s="1"/>
  <c r="AO136"/>
  <c r="AP136" s="1"/>
  <c r="AO137"/>
  <c r="AP137" s="1"/>
  <c r="AO138"/>
  <c r="AP138" s="1"/>
  <c r="AO140"/>
  <c r="AP140" s="1"/>
  <c r="AO141"/>
  <c r="AP141" s="1"/>
  <c r="AO144"/>
  <c r="AP144" s="1"/>
  <c r="AO145"/>
  <c r="AP145" s="1"/>
  <c r="AO146"/>
  <c r="AP146" s="1"/>
  <c r="AO147"/>
  <c r="AP147" s="1"/>
  <c r="AO148"/>
  <c r="AP148" s="1"/>
  <c r="AO152"/>
  <c r="AP152" s="1"/>
  <c r="AO153"/>
  <c r="AP153" s="1"/>
  <c r="AO154"/>
  <c r="AP154" s="1"/>
  <c r="AO155"/>
  <c r="AP155" s="1"/>
  <c r="J136" i="1"/>
  <c r="K136"/>
  <c r="L136"/>
  <c r="M136"/>
  <c r="M111" s="1"/>
  <c r="I136"/>
  <c r="J92"/>
  <c r="K92"/>
  <c r="L92"/>
  <c r="M92"/>
  <c r="I92"/>
  <c r="J312"/>
  <c r="K312"/>
  <c r="L312"/>
  <c r="M312"/>
  <c r="I312"/>
  <c r="J294"/>
  <c r="K294"/>
  <c r="L294"/>
  <c r="M294"/>
  <c r="I294"/>
  <c r="J250"/>
  <c r="J249" s="1"/>
  <c r="J248" s="1"/>
  <c r="K250"/>
  <c r="K249" s="1"/>
  <c r="K248" s="1"/>
  <c r="L250"/>
  <c r="L249" s="1"/>
  <c r="L248" s="1"/>
  <c r="M250"/>
  <c r="I250"/>
  <c r="I249" s="1"/>
  <c r="I248" s="1"/>
  <c r="J242"/>
  <c r="K242"/>
  <c r="L242"/>
  <c r="M242"/>
  <c r="I242"/>
  <c r="J216"/>
  <c r="K216"/>
  <c r="L216"/>
  <c r="M216"/>
  <c r="I216"/>
  <c r="K112"/>
  <c r="L112"/>
  <c r="I112"/>
  <c r="K10" i="5" l="1"/>
  <c r="K9" s="1"/>
  <c r="K8" s="1"/>
  <c r="N8" s="1"/>
  <c r="D9"/>
  <c r="N331" i="1"/>
  <c r="U331"/>
  <c r="U195"/>
  <c r="U69" s="1"/>
  <c r="U59" s="1"/>
  <c r="U46" s="1"/>
  <c r="T195"/>
  <c r="T69" s="1"/>
  <c r="T59" s="1"/>
  <c r="T46" s="1"/>
  <c r="T331"/>
  <c r="M249"/>
  <c r="X46" l="1"/>
  <c r="M248"/>
  <c r="G20" i="5" l="1"/>
  <c r="G17" s="1"/>
  <c r="F20"/>
  <c r="F17" s="1"/>
  <c r="F8" s="1"/>
  <c r="AX65" i="6" l="1"/>
  <c r="B45" i="17" l="1"/>
  <c r="G15" i="5"/>
  <c r="H20"/>
  <c r="H17" s="1"/>
  <c r="H8" s="1"/>
  <c r="C21"/>
  <c r="C20" s="1"/>
  <c r="C19"/>
  <c r="C18"/>
  <c r="C16"/>
  <c r="C15"/>
  <c r="C9"/>
  <c r="D15" l="1"/>
  <c r="D14" s="1"/>
  <c r="G14"/>
  <c r="G8" s="1"/>
  <c r="D20"/>
  <c r="D17" s="1"/>
  <c r="C14"/>
  <c r="C17"/>
  <c r="Z13" i="1"/>
  <c r="AA13"/>
  <c r="AB13"/>
  <c r="Y13"/>
  <c r="J382"/>
  <c r="K382"/>
  <c r="L382"/>
  <c r="M382"/>
  <c r="I382"/>
  <c r="J387"/>
  <c r="K387"/>
  <c r="L387"/>
  <c r="M387"/>
  <c r="I387"/>
  <c r="J378"/>
  <c r="J377" s="1"/>
  <c r="K378"/>
  <c r="K377" s="1"/>
  <c r="L378"/>
  <c r="L377" s="1"/>
  <c r="M378"/>
  <c r="I378"/>
  <c r="I377" s="1"/>
  <c r="J364"/>
  <c r="J363" s="1"/>
  <c r="K364"/>
  <c r="K363" s="1"/>
  <c r="L364"/>
  <c r="L363" s="1"/>
  <c r="M364"/>
  <c r="I364"/>
  <c r="I363" s="1"/>
  <c r="J360"/>
  <c r="K360"/>
  <c r="L360"/>
  <c r="M360"/>
  <c r="J356"/>
  <c r="K356"/>
  <c r="L356"/>
  <c r="M356"/>
  <c r="I356"/>
  <c r="J348"/>
  <c r="J347" s="1"/>
  <c r="K348"/>
  <c r="K347" s="1"/>
  <c r="L348"/>
  <c r="L347" s="1"/>
  <c r="M348"/>
  <c r="I348"/>
  <c r="I347" s="1"/>
  <c r="J339"/>
  <c r="K339"/>
  <c r="L339"/>
  <c r="M339"/>
  <c r="J334"/>
  <c r="K334"/>
  <c r="L334"/>
  <c r="M334"/>
  <c r="J326"/>
  <c r="J325" s="1"/>
  <c r="K326"/>
  <c r="K325" s="1"/>
  <c r="L326"/>
  <c r="L325" s="1"/>
  <c r="M326"/>
  <c r="M325" s="1"/>
  <c r="J323"/>
  <c r="K323"/>
  <c r="L323"/>
  <c r="M323"/>
  <c r="I323"/>
  <c r="J320"/>
  <c r="J319" s="1"/>
  <c r="K320"/>
  <c r="K319" s="1"/>
  <c r="L320"/>
  <c r="L319" s="1"/>
  <c r="M320"/>
  <c r="I320"/>
  <c r="I319" s="1"/>
  <c r="J317"/>
  <c r="K317"/>
  <c r="L317"/>
  <c r="M317"/>
  <c r="K302"/>
  <c r="K301" s="1"/>
  <c r="L302"/>
  <c r="L301" s="1"/>
  <c r="M302"/>
  <c r="I302"/>
  <c r="I301" s="1"/>
  <c r="J298"/>
  <c r="K298"/>
  <c r="L298"/>
  <c r="M298"/>
  <c r="K283"/>
  <c r="K282" s="1"/>
  <c r="L283"/>
  <c r="L282" s="1"/>
  <c r="M283"/>
  <c r="I283"/>
  <c r="I282" s="1"/>
  <c r="J277"/>
  <c r="K277"/>
  <c r="L277"/>
  <c r="M277"/>
  <c r="I277"/>
  <c r="J273"/>
  <c r="J272" s="1"/>
  <c r="K273"/>
  <c r="K272" s="1"/>
  <c r="L273"/>
  <c r="L272" s="1"/>
  <c r="M273"/>
  <c r="I273"/>
  <c r="I272" s="1"/>
  <c r="J270"/>
  <c r="K270"/>
  <c r="L270"/>
  <c r="M270"/>
  <c r="J266"/>
  <c r="J265" s="1"/>
  <c r="J264" s="1"/>
  <c r="K266"/>
  <c r="K265" s="1"/>
  <c r="K264" s="1"/>
  <c r="L266"/>
  <c r="L265" s="1"/>
  <c r="L264" s="1"/>
  <c r="M266"/>
  <c r="I266"/>
  <c r="I265" s="1"/>
  <c r="I264" s="1"/>
  <c r="J261"/>
  <c r="J260" s="1"/>
  <c r="K261"/>
  <c r="K260" s="1"/>
  <c r="L261"/>
  <c r="L260" s="1"/>
  <c r="M261"/>
  <c r="I261"/>
  <c r="I260" s="1"/>
  <c r="J258"/>
  <c r="K258"/>
  <c r="L258"/>
  <c r="M258"/>
  <c r="J254"/>
  <c r="J253" s="1"/>
  <c r="J252" s="1"/>
  <c r="K254"/>
  <c r="K253" s="1"/>
  <c r="K252" s="1"/>
  <c r="L254"/>
  <c r="L253" s="1"/>
  <c r="L252" s="1"/>
  <c r="M254"/>
  <c r="I254"/>
  <c r="I253" s="1"/>
  <c r="I252" s="1"/>
  <c r="J238"/>
  <c r="K238"/>
  <c r="L238"/>
  <c r="M238"/>
  <c r="I238"/>
  <c r="K224"/>
  <c r="L224"/>
  <c r="M224"/>
  <c r="I224"/>
  <c r="J213"/>
  <c r="J212" s="1"/>
  <c r="K213"/>
  <c r="K212" s="1"/>
  <c r="L213"/>
  <c r="L212" s="1"/>
  <c r="M213"/>
  <c r="J210"/>
  <c r="K210"/>
  <c r="L210"/>
  <c r="I210"/>
  <c r="J204"/>
  <c r="K204"/>
  <c r="L204"/>
  <c r="M204"/>
  <c r="I204"/>
  <c r="J197"/>
  <c r="K197"/>
  <c r="L197"/>
  <c r="M197"/>
  <c r="J191"/>
  <c r="J190" s="1"/>
  <c r="K191"/>
  <c r="K190" s="1"/>
  <c r="L191"/>
  <c r="L190" s="1"/>
  <c r="M191"/>
  <c r="J187"/>
  <c r="J186" s="1"/>
  <c r="J185" s="1"/>
  <c r="K187"/>
  <c r="K186" s="1"/>
  <c r="K185" s="1"/>
  <c r="L187"/>
  <c r="L186" s="1"/>
  <c r="L185" s="1"/>
  <c r="M187"/>
  <c r="I187"/>
  <c r="I186" s="1"/>
  <c r="I185" s="1"/>
  <c r="J182"/>
  <c r="J181" s="1"/>
  <c r="J180" s="1"/>
  <c r="K182"/>
  <c r="K181" s="1"/>
  <c r="K180" s="1"/>
  <c r="L182"/>
  <c r="L181" s="1"/>
  <c r="L180" s="1"/>
  <c r="M182"/>
  <c r="I182"/>
  <c r="I181" s="1"/>
  <c r="I180" s="1"/>
  <c r="J177"/>
  <c r="J176" s="1"/>
  <c r="K177"/>
  <c r="K176" s="1"/>
  <c r="L177"/>
  <c r="L176" s="1"/>
  <c r="M177"/>
  <c r="I177"/>
  <c r="I176" s="1"/>
  <c r="K173"/>
  <c r="L173"/>
  <c r="M173"/>
  <c r="J170"/>
  <c r="K170"/>
  <c r="L170"/>
  <c r="M170"/>
  <c r="I170"/>
  <c r="J160"/>
  <c r="J159" s="1"/>
  <c r="K160"/>
  <c r="K159" s="1"/>
  <c r="L160"/>
  <c r="L159" s="1"/>
  <c r="M160"/>
  <c r="I160"/>
  <c r="I159" s="1"/>
  <c r="J156"/>
  <c r="K156"/>
  <c r="L156"/>
  <c r="M156"/>
  <c r="I156"/>
  <c r="J153"/>
  <c r="K153"/>
  <c r="L153"/>
  <c r="M153"/>
  <c r="I153"/>
  <c r="J150"/>
  <c r="K150"/>
  <c r="L150"/>
  <c r="M150"/>
  <c r="I150"/>
  <c r="J109"/>
  <c r="K109"/>
  <c r="L109"/>
  <c r="M109"/>
  <c r="J88"/>
  <c r="K88"/>
  <c r="L88"/>
  <c r="M88"/>
  <c r="I88"/>
  <c r="J84"/>
  <c r="K84"/>
  <c r="L84"/>
  <c r="M84"/>
  <c r="J82"/>
  <c r="J73" s="1"/>
  <c r="K82"/>
  <c r="K73" s="1"/>
  <c r="L82"/>
  <c r="L73" s="1"/>
  <c r="M82"/>
  <c r="M73" s="1"/>
  <c r="M70" s="1"/>
  <c r="I82"/>
  <c r="I74"/>
  <c r="J225"/>
  <c r="O279"/>
  <c r="O278"/>
  <c r="J61"/>
  <c r="K61"/>
  <c r="L61"/>
  <c r="M61"/>
  <c r="I213"/>
  <c r="I212" s="1"/>
  <c r="J48"/>
  <c r="K48"/>
  <c r="L48"/>
  <c r="M48"/>
  <c r="I21"/>
  <c r="I15"/>
  <c r="I360"/>
  <c r="I339"/>
  <c r="I334"/>
  <c r="I326"/>
  <c r="I325" s="1"/>
  <c r="I317"/>
  <c r="J306"/>
  <c r="J305"/>
  <c r="I298"/>
  <c r="J288"/>
  <c r="J283" s="1"/>
  <c r="J282" s="1"/>
  <c r="I270"/>
  <c r="I258"/>
  <c r="J234"/>
  <c r="I197"/>
  <c r="I191"/>
  <c r="I190" s="1"/>
  <c r="J175"/>
  <c r="J173" s="1"/>
  <c r="I173"/>
  <c r="J118"/>
  <c r="J116"/>
  <c r="J115"/>
  <c r="J114"/>
  <c r="J113"/>
  <c r="I109"/>
  <c r="I84"/>
  <c r="J72"/>
  <c r="J71" s="1"/>
  <c r="I71"/>
  <c r="I61"/>
  <c r="I48"/>
  <c r="AW13" i="3"/>
  <c r="AX13"/>
  <c r="AY13"/>
  <c r="AV13"/>
  <c r="H36"/>
  <c r="H35" s="1"/>
  <c r="H34" s="1"/>
  <c r="H33" s="1"/>
  <c r="I36"/>
  <c r="I35" s="1"/>
  <c r="I34" s="1"/>
  <c r="I33" s="1"/>
  <c r="J36"/>
  <c r="J35" s="1"/>
  <c r="J34" s="1"/>
  <c r="J33" s="1"/>
  <c r="K36"/>
  <c r="K35" s="1"/>
  <c r="K34" s="1"/>
  <c r="K33" s="1"/>
  <c r="M36"/>
  <c r="M35" s="1"/>
  <c r="M34" s="1"/>
  <c r="M33" s="1"/>
  <c r="N36"/>
  <c r="N35" s="1"/>
  <c r="N34" s="1"/>
  <c r="N33" s="1"/>
  <c r="P36"/>
  <c r="P35" s="1"/>
  <c r="P34" s="1"/>
  <c r="P33" s="1"/>
  <c r="Q36"/>
  <c r="Q35" s="1"/>
  <c r="Q34" s="1"/>
  <c r="Q33" s="1"/>
  <c r="S36"/>
  <c r="S35" s="1"/>
  <c r="S34" s="1"/>
  <c r="S33" s="1"/>
  <c r="T36"/>
  <c r="T35" s="1"/>
  <c r="T34" s="1"/>
  <c r="T33" s="1"/>
  <c r="U36"/>
  <c r="U35" s="1"/>
  <c r="U34" s="1"/>
  <c r="U33" s="1"/>
  <c r="V36"/>
  <c r="V35" s="1"/>
  <c r="V34" s="1"/>
  <c r="V33" s="1"/>
  <c r="X36"/>
  <c r="X35" s="1"/>
  <c r="X34" s="1"/>
  <c r="X33" s="1"/>
  <c r="Y36"/>
  <c r="Y35" s="1"/>
  <c r="Y34" s="1"/>
  <c r="Y33" s="1"/>
  <c r="Z36"/>
  <c r="Z35" s="1"/>
  <c r="Z34" s="1"/>
  <c r="Z33" s="1"/>
  <c r="AA36"/>
  <c r="AA35" s="1"/>
  <c r="AA34" s="1"/>
  <c r="AA33" s="1"/>
  <c r="AC36"/>
  <c r="AC35" s="1"/>
  <c r="AC34" s="1"/>
  <c r="AC33" s="1"/>
  <c r="AD36"/>
  <c r="AD35" s="1"/>
  <c r="AD34" s="1"/>
  <c r="AD33" s="1"/>
  <c r="AE36"/>
  <c r="AE35" s="1"/>
  <c r="AE34" s="1"/>
  <c r="AE33" s="1"/>
  <c r="AF36"/>
  <c r="AF35" s="1"/>
  <c r="AF34" s="1"/>
  <c r="AF33" s="1"/>
  <c r="AG36"/>
  <c r="AG35" s="1"/>
  <c r="AG34" s="1"/>
  <c r="AG33" s="1"/>
  <c r="AH36"/>
  <c r="AH35" s="1"/>
  <c r="AH34" s="1"/>
  <c r="AH33" s="1"/>
  <c r="AI36"/>
  <c r="AI35" s="1"/>
  <c r="AI34" s="1"/>
  <c r="AI33" s="1"/>
  <c r="AJ36"/>
  <c r="AJ35" s="1"/>
  <c r="AJ34" s="1"/>
  <c r="AJ33" s="1"/>
  <c r="AK36"/>
  <c r="AK35" s="1"/>
  <c r="AK34" s="1"/>
  <c r="AK33" s="1"/>
  <c r="AL36"/>
  <c r="AL35" s="1"/>
  <c r="AL34" s="1"/>
  <c r="AL33" s="1"/>
  <c r="AM36"/>
  <c r="AM35" s="1"/>
  <c r="AM34" s="1"/>
  <c r="AM33" s="1"/>
  <c r="AN36"/>
  <c r="AN35" s="1"/>
  <c r="AN34" s="1"/>
  <c r="AN33" s="1"/>
  <c r="AO36"/>
  <c r="AO35" s="1"/>
  <c r="AO34" s="1"/>
  <c r="AO33" s="1"/>
  <c r="AP36"/>
  <c r="AP35" s="1"/>
  <c r="AP34" s="1"/>
  <c r="AP33" s="1"/>
  <c r="AQ36"/>
  <c r="AQ35" s="1"/>
  <c r="AQ34" s="1"/>
  <c r="AQ33" s="1"/>
  <c r="AR36"/>
  <c r="AR35" s="1"/>
  <c r="AR34" s="1"/>
  <c r="AR33" s="1"/>
  <c r="AS36"/>
  <c r="AS35" s="1"/>
  <c r="AS34" s="1"/>
  <c r="AS33" s="1"/>
  <c r="H31"/>
  <c r="H30" s="1"/>
  <c r="H29" s="1"/>
  <c r="I31"/>
  <c r="I30" s="1"/>
  <c r="I29" s="1"/>
  <c r="J31"/>
  <c r="J30" s="1"/>
  <c r="J29" s="1"/>
  <c r="K31"/>
  <c r="K30" s="1"/>
  <c r="K29" s="1"/>
  <c r="L31"/>
  <c r="L30" s="1"/>
  <c r="L29" s="1"/>
  <c r="M31"/>
  <c r="M30" s="1"/>
  <c r="M29" s="1"/>
  <c r="N31"/>
  <c r="N30" s="1"/>
  <c r="N29" s="1"/>
  <c r="O31"/>
  <c r="O30" s="1"/>
  <c r="O29" s="1"/>
  <c r="P31"/>
  <c r="P30" s="1"/>
  <c r="P29" s="1"/>
  <c r="Q31"/>
  <c r="Q30" s="1"/>
  <c r="Q29" s="1"/>
  <c r="R31"/>
  <c r="R30" s="1"/>
  <c r="R29" s="1"/>
  <c r="S31"/>
  <c r="S30" s="1"/>
  <c r="S29" s="1"/>
  <c r="T31"/>
  <c r="T30" s="1"/>
  <c r="T29" s="1"/>
  <c r="U31"/>
  <c r="U30" s="1"/>
  <c r="U29" s="1"/>
  <c r="V31"/>
  <c r="V30" s="1"/>
  <c r="V29" s="1"/>
  <c r="W31"/>
  <c r="W30" s="1"/>
  <c r="W29" s="1"/>
  <c r="X31"/>
  <c r="X30" s="1"/>
  <c r="X29" s="1"/>
  <c r="Y31"/>
  <c r="Y30" s="1"/>
  <c r="Y29" s="1"/>
  <c r="Z31"/>
  <c r="Z30" s="1"/>
  <c r="Z29" s="1"/>
  <c r="AA31"/>
  <c r="AA30" s="1"/>
  <c r="AA29" s="1"/>
  <c r="AB31"/>
  <c r="AB30" s="1"/>
  <c r="AB29" s="1"/>
  <c r="AC31"/>
  <c r="AC30" s="1"/>
  <c r="AC29" s="1"/>
  <c r="AD31"/>
  <c r="AD30" s="1"/>
  <c r="AD29" s="1"/>
  <c r="AE31"/>
  <c r="AE30" s="1"/>
  <c r="AE29" s="1"/>
  <c r="AF31"/>
  <c r="AF30" s="1"/>
  <c r="AF29" s="1"/>
  <c r="AG31"/>
  <c r="AG30" s="1"/>
  <c r="AG29" s="1"/>
  <c r="AH31"/>
  <c r="AH30" s="1"/>
  <c r="AH29" s="1"/>
  <c r="AI31"/>
  <c r="AI30" s="1"/>
  <c r="AI29" s="1"/>
  <c r="AJ31"/>
  <c r="AJ30" s="1"/>
  <c r="AJ29" s="1"/>
  <c r="AK31"/>
  <c r="AK30" s="1"/>
  <c r="AK29" s="1"/>
  <c r="AL31"/>
  <c r="AL30" s="1"/>
  <c r="AL29" s="1"/>
  <c r="AM31"/>
  <c r="AM30" s="1"/>
  <c r="AM29" s="1"/>
  <c r="AN31"/>
  <c r="AN30" s="1"/>
  <c r="AN29" s="1"/>
  <c r="AO31"/>
  <c r="AP31"/>
  <c r="AP30" s="1"/>
  <c r="AP29" s="1"/>
  <c r="AQ31"/>
  <c r="AQ30" s="1"/>
  <c r="AQ29" s="1"/>
  <c r="AR31"/>
  <c r="AR30" s="1"/>
  <c r="AR29" s="1"/>
  <c r="AS31"/>
  <c r="AS30" s="1"/>
  <c r="AS29" s="1"/>
  <c r="I27"/>
  <c r="I26" s="1"/>
  <c r="J27"/>
  <c r="J26" s="1"/>
  <c r="K27"/>
  <c r="K26" s="1"/>
  <c r="M27"/>
  <c r="M26" s="1"/>
  <c r="N27"/>
  <c r="N26" s="1"/>
  <c r="P27"/>
  <c r="P26" s="1"/>
  <c r="Q27"/>
  <c r="Q26" s="1"/>
  <c r="S27"/>
  <c r="S26" s="1"/>
  <c r="T27"/>
  <c r="T26" s="1"/>
  <c r="U27"/>
  <c r="U26" s="1"/>
  <c r="V27"/>
  <c r="V26" s="1"/>
  <c r="X27"/>
  <c r="X26" s="1"/>
  <c r="Y27"/>
  <c r="Y26" s="1"/>
  <c r="Z27"/>
  <c r="Z26" s="1"/>
  <c r="AA27"/>
  <c r="AA26" s="1"/>
  <c r="AC27"/>
  <c r="AC26" s="1"/>
  <c r="AD27"/>
  <c r="AD26" s="1"/>
  <c r="AE27"/>
  <c r="AE26" s="1"/>
  <c r="AF27"/>
  <c r="AF26" s="1"/>
  <c r="AG27"/>
  <c r="AG26" s="1"/>
  <c r="AH27"/>
  <c r="AH26" s="1"/>
  <c r="AI27"/>
  <c r="AI26" s="1"/>
  <c r="AJ27"/>
  <c r="AJ26" s="1"/>
  <c r="AK27"/>
  <c r="AK26" s="1"/>
  <c r="AL27"/>
  <c r="AL26" s="1"/>
  <c r="AM27"/>
  <c r="AM26" s="1"/>
  <c r="AN27"/>
  <c r="AN26" s="1"/>
  <c r="AO27"/>
  <c r="AO26" s="1"/>
  <c r="AP27"/>
  <c r="AP26" s="1"/>
  <c r="AQ27"/>
  <c r="AQ26" s="1"/>
  <c r="AR27"/>
  <c r="AR26" s="1"/>
  <c r="AS27"/>
  <c r="AS26" s="1"/>
  <c r="I24"/>
  <c r="I23" s="1"/>
  <c r="J24"/>
  <c r="J23" s="1"/>
  <c r="K24"/>
  <c r="K23" s="1"/>
  <c r="M24"/>
  <c r="M23" s="1"/>
  <c r="N24"/>
  <c r="N23" s="1"/>
  <c r="P24"/>
  <c r="P23" s="1"/>
  <c r="Q24"/>
  <c r="Q23" s="1"/>
  <c r="S24"/>
  <c r="S23" s="1"/>
  <c r="T24"/>
  <c r="T23" s="1"/>
  <c r="U24"/>
  <c r="U23" s="1"/>
  <c r="V24"/>
  <c r="V23" s="1"/>
  <c r="X24"/>
  <c r="X23" s="1"/>
  <c r="Y24"/>
  <c r="Y23" s="1"/>
  <c r="Z24"/>
  <c r="Z23" s="1"/>
  <c r="AA24"/>
  <c r="AA23" s="1"/>
  <c r="AC24"/>
  <c r="AC23" s="1"/>
  <c r="AD24"/>
  <c r="AD23" s="1"/>
  <c r="AE24"/>
  <c r="AE23" s="1"/>
  <c r="AF24"/>
  <c r="AF23" s="1"/>
  <c r="AG24"/>
  <c r="AG23" s="1"/>
  <c r="AH24"/>
  <c r="AH23" s="1"/>
  <c r="AI24"/>
  <c r="AI23" s="1"/>
  <c r="AJ24"/>
  <c r="AJ23" s="1"/>
  <c r="AK24"/>
  <c r="AK23" s="1"/>
  <c r="AL24"/>
  <c r="AL23" s="1"/>
  <c r="AM24"/>
  <c r="AM23" s="1"/>
  <c r="AN24"/>
  <c r="AN23" s="1"/>
  <c r="AO24"/>
  <c r="AO23" s="1"/>
  <c r="AP24"/>
  <c r="AP23" s="1"/>
  <c r="AQ24"/>
  <c r="AQ23" s="1"/>
  <c r="AR24"/>
  <c r="AR23" s="1"/>
  <c r="AS24"/>
  <c r="AS23" s="1"/>
  <c r="H21"/>
  <c r="H20" s="1"/>
  <c r="I21"/>
  <c r="I20" s="1"/>
  <c r="J21"/>
  <c r="J20" s="1"/>
  <c r="K21"/>
  <c r="K20" s="1"/>
  <c r="N21"/>
  <c r="N20" s="1"/>
  <c r="P21"/>
  <c r="P20" s="1"/>
  <c r="Q21"/>
  <c r="Q20" s="1"/>
  <c r="S21"/>
  <c r="S20" s="1"/>
  <c r="T21"/>
  <c r="T20" s="1"/>
  <c r="U21"/>
  <c r="U20" s="1"/>
  <c r="V21"/>
  <c r="V20" s="1"/>
  <c r="X21"/>
  <c r="X20" s="1"/>
  <c r="Y21"/>
  <c r="Y20" s="1"/>
  <c r="Z21"/>
  <c r="Z20" s="1"/>
  <c r="AA21"/>
  <c r="AA20" s="1"/>
  <c r="AC21"/>
  <c r="AC20" s="1"/>
  <c r="AD21"/>
  <c r="AD20" s="1"/>
  <c r="AE21"/>
  <c r="AE20" s="1"/>
  <c r="AF21"/>
  <c r="AF20" s="1"/>
  <c r="AH21"/>
  <c r="AH20" s="1"/>
  <c r="AI21"/>
  <c r="AI20" s="1"/>
  <c r="AJ21"/>
  <c r="AJ20" s="1"/>
  <c r="AK21"/>
  <c r="AK20" s="1"/>
  <c r="AL21"/>
  <c r="AL20" s="1"/>
  <c r="AM21"/>
  <c r="AM20" s="1"/>
  <c r="AN21"/>
  <c r="AN20" s="1"/>
  <c r="AO21"/>
  <c r="AO20" s="1"/>
  <c r="AP21"/>
  <c r="AP20" s="1"/>
  <c r="AQ21"/>
  <c r="AQ20" s="1"/>
  <c r="AR21"/>
  <c r="AR20" s="1"/>
  <c r="AS21"/>
  <c r="AS20" s="1"/>
  <c r="H18"/>
  <c r="I18"/>
  <c r="J18"/>
  <c r="K18"/>
  <c r="M18"/>
  <c r="N18"/>
  <c r="P18"/>
  <c r="Q18"/>
  <c r="S18"/>
  <c r="T18"/>
  <c r="U18"/>
  <c r="V18"/>
  <c r="X18"/>
  <c r="Y18"/>
  <c r="Z18"/>
  <c r="AA18"/>
  <c r="AC18"/>
  <c r="AD18"/>
  <c r="AE18"/>
  <c r="AF18"/>
  <c r="AG18"/>
  <c r="AH18"/>
  <c r="AI18"/>
  <c r="AJ18"/>
  <c r="AK18"/>
  <c r="AL18"/>
  <c r="AM18"/>
  <c r="AN18"/>
  <c r="AO18"/>
  <c r="AP18"/>
  <c r="AQ18"/>
  <c r="AR18"/>
  <c r="AS18"/>
  <c r="AG22"/>
  <c r="AG21" s="1"/>
  <c r="AG20" s="1"/>
  <c r="AB37"/>
  <c r="AB36" s="1"/>
  <c r="AB35" s="1"/>
  <c r="AB34" s="1"/>
  <c r="AB33" s="1"/>
  <c r="W37"/>
  <c r="W36" s="1"/>
  <c r="W35" s="1"/>
  <c r="W34" s="1"/>
  <c r="W33" s="1"/>
  <c r="AB28"/>
  <c r="AB27" s="1"/>
  <c r="AB26" s="1"/>
  <c r="W28"/>
  <c r="W27" s="1"/>
  <c r="W26" s="1"/>
  <c r="AB25"/>
  <c r="AB24" s="1"/>
  <c r="AB23" s="1"/>
  <c r="W25"/>
  <c r="W24" s="1"/>
  <c r="W23" s="1"/>
  <c r="AB22"/>
  <c r="AB21" s="1"/>
  <c r="AB20" s="1"/>
  <c r="W22"/>
  <c r="W21" s="1"/>
  <c r="W20" s="1"/>
  <c r="AB19"/>
  <c r="AB18" s="1"/>
  <c r="W19"/>
  <c r="W18" s="1"/>
  <c r="R37"/>
  <c r="O37" s="1"/>
  <c r="O36" s="1"/>
  <c r="O35" s="1"/>
  <c r="O34" s="1"/>
  <c r="O33" s="1"/>
  <c r="R28"/>
  <c r="R27" s="1"/>
  <c r="R26" s="1"/>
  <c r="O28"/>
  <c r="O27" s="1"/>
  <c r="O26" s="1"/>
  <c r="R25"/>
  <c r="R24" s="1"/>
  <c r="R23" s="1"/>
  <c r="O25"/>
  <c r="O24" s="1"/>
  <c r="O23" s="1"/>
  <c r="R22"/>
  <c r="R21" s="1"/>
  <c r="R20" s="1"/>
  <c r="O22"/>
  <c r="O21" s="1"/>
  <c r="O20" s="1"/>
  <c r="R19"/>
  <c r="R18" s="1"/>
  <c r="O19"/>
  <c r="O18" s="1"/>
  <c r="L37"/>
  <c r="G37" s="1"/>
  <c r="G36" s="1"/>
  <c r="G35" s="1"/>
  <c r="G34" s="1"/>
  <c r="G33" s="1"/>
  <c r="G31"/>
  <c r="G30" s="1"/>
  <c r="G29" s="1"/>
  <c r="L28"/>
  <c r="L27" s="1"/>
  <c r="L26" s="1"/>
  <c r="H28"/>
  <c r="L25"/>
  <c r="L24" s="1"/>
  <c r="L23" s="1"/>
  <c r="H25"/>
  <c r="H24" s="1"/>
  <c r="H23" s="1"/>
  <c r="M22"/>
  <c r="L22" s="1"/>
  <c r="G22" s="1"/>
  <c r="G21" s="1"/>
  <c r="G20" s="1"/>
  <c r="L19"/>
  <c r="G19" s="1"/>
  <c r="G18" s="1"/>
  <c r="AT149" i="6"/>
  <c r="AU149"/>
  <c r="AV149"/>
  <c r="AS149"/>
  <c r="AT14"/>
  <c r="AU14"/>
  <c r="AV14"/>
  <c r="AS14"/>
  <c r="J151"/>
  <c r="J150" s="1"/>
  <c r="J149" s="1"/>
  <c r="K151"/>
  <c r="K150" s="1"/>
  <c r="K149" s="1"/>
  <c r="L151"/>
  <c r="L150" s="1"/>
  <c r="L149" s="1"/>
  <c r="M151"/>
  <c r="N151"/>
  <c r="N150" s="1"/>
  <c r="N149" s="1"/>
  <c r="O151"/>
  <c r="O150" s="1"/>
  <c r="O149" s="1"/>
  <c r="P151"/>
  <c r="Q151"/>
  <c r="Q150" s="1"/>
  <c r="Q149" s="1"/>
  <c r="S151"/>
  <c r="S150" s="1"/>
  <c r="S149" s="1"/>
  <c r="T151"/>
  <c r="T150" s="1"/>
  <c r="T149" s="1"/>
  <c r="U151"/>
  <c r="U150" s="1"/>
  <c r="U149" s="1"/>
  <c r="V151"/>
  <c r="V150" s="1"/>
  <c r="V149" s="1"/>
  <c r="X151"/>
  <c r="X150" s="1"/>
  <c r="X149" s="1"/>
  <c r="Y151"/>
  <c r="Y150" s="1"/>
  <c r="Y149" s="1"/>
  <c r="Z151"/>
  <c r="Z150" s="1"/>
  <c r="Z149" s="1"/>
  <c r="AC151"/>
  <c r="AC150" s="1"/>
  <c r="AC149" s="1"/>
  <c r="AD151"/>
  <c r="AD150" s="1"/>
  <c r="AD149" s="1"/>
  <c r="AE151"/>
  <c r="AE150" s="1"/>
  <c r="AE149" s="1"/>
  <c r="AF151"/>
  <c r="AF150" s="1"/>
  <c r="AF149" s="1"/>
  <c r="AG151"/>
  <c r="AG150" s="1"/>
  <c r="AG149" s="1"/>
  <c r="AH151"/>
  <c r="AH150" s="1"/>
  <c r="AH149" s="1"/>
  <c r="AI151"/>
  <c r="AI150" s="1"/>
  <c r="AI149" s="1"/>
  <c r="AJ151"/>
  <c r="AJ150" s="1"/>
  <c r="AJ149" s="1"/>
  <c r="AK151"/>
  <c r="AK150" s="1"/>
  <c r="AL151"/>
  <c r="AL150" s="1"/>
  <c r="AL149" s="1"/>
  <c r="AM151"/>
  <c r="AM150" s="1"/>
  <c r="AM149" s="1"/>
  <c r="AN151"/>
  <c r="AN150" s="1"/>
  <c r="AN149" s="1"/>
  <c r="I151"/>
  <c r="I150" s="1"/>
  <c r="I149" s="1"/>
  <c r="J142"/>
  <c r="K142"/>
  <c r="L142"/>
  <c r="M142"/>
  <c r="N142"/>
  <c r="O142"/>
  <c r="P142"/>
  <c r="Q142"/>
  <c r="S142"/>
  <c r="T142"/>
  <c r="U142"/>
  <c r="V142"/>
  <c r="X142"/>
  <c r="Y142"/>
  <c r="Z142"/>
  <c r="AA142"/>
  <c r="AC142"/>
  <c r="AD142"/>
  <c r="AE142"/>
  <c r="AF142"/>
  <c r="AG142"/>
  <c r="AH142"/>
  <c r="AI142"/>
  <c r="AJ142"/>
  <c r="AK142"/>
  <c r="AL142"/>
  <c r="AM142"/>
  <c r="AN142"/>
  <c r="J143"/>
  <c r="K143"/>
  <c r="L143"/>
  <c r="M143"/>
  <c r="N143"/>
  <c r="O143"/>
  <c r="P143"/>
  <c r="Q143"/>
  <c r="S143"/>
  <c r="T143"/>
  <c r="U143"/>
  <c r="V143"/>
  <c r="X143"/>
  <c r="Y143"/>
  <c r="Z143"/>
  <c r="AA143"/>
  <c r="AC143"/>
  <c r="AD143"/>
  <c r="AE143"/>
  <c r="AO143" s="1"/>
  <c r="AP143" s="1"/>
  <c r="AF143"/>
  <c r="AG143"/>
  <c r="AH143"/>
  <c r="AI143"/>
  <c r="AJ143"/>
  <c r="AK143"/>
  <c r="AL143"/>
  <c r="AM143"/>
  <c r="AN143"/>
  <c r="J139"/>
  <c r="K139"/>
  <c r="L139"/>
  <c r="M139"/>
  <c r="N139"/>
  <c r="O139"/>
  <c r="P139"/>
  <c r="Q139"/>
  <c r="R139"/>
  <c r="S139"/>
  <c r="T139"/>
  <c r="U139"/>
  <c r="V139"/>
  <c r="W139"/>
  <c r="X139"/>
  <c r="Y139"/>
  <c r="Z139"/>
  <c r="AA139"/>
  <c r="AB139"/>
  <c r="AC139"/>
  <c r="AD139"/>
  <c r="AE139"/>
  <c r="AF139"/>
  <c r="AG139"/>
  <c r="AH139"/>
  <c r="AI139"/>
  <c r="AJ139"/>
  <c r="AK139"/>
  <c r="AL139"/>
  <c r="AM139"/>
  <c r="AN139"/>
  <c r="I139"/>
  <c r="J134"/>
  <c r="K134"/>
  <c r="L134"/>
  <c r="M134"/>
  <c r="N134"/>
  <c r="O134"/>
  <c r="P134"/>
  <c r="Q134"/>
  <c r="S134"/>
  <c r="T134"/>
  <c r="U134"/>
  <c r="V134"/>
  <c r="X134"/>
  <c r="Y134"/>
  <c r="Z134"/>
  <c r="AD134"/>
  <c r="AE134"/>
  <c r="AF134"/>
  <c r="AG134"/>
  <c r="AH134"/>
  <c r="AI134"/>
  <c r="AJ134"/>
  <c r="AK134"/>
  <c r="AL134"/>
  <c r="AM134"/>
  <c r="AN134"/>
  <c r="J135"/>
  <c r="K135"/>
  <c r="L135"/>
  <c r="M135"/>
  <c r="N135"/>
  <c r="O135"/>
  <c r="P135"/>
  <c r="Q135"/>
  <c r="S135"/>
  <c r="T135"/>
  <c r="U135"/>
  <c r="V135"/>
  <c r="X135"/>
  <c r="Y135"/>
  <c r="Z135"/>
  <c r="AD135"/>
  <c r="AE135"/>
  <c r="AF135"/>
  <c r="AG135"/>
  <c r="AH135"/>
  <c r="AI135"/>
  <c r="AJ135"/>
  <c r="AK135"/>
  <c r="AL135"/>
  <c r="AM135"/>
  <c r="AN135"/>
  <c r="J129"/>
  <c r="J128" s="1"/>
  <c r="K129"/>
  <c r="K128" s="1"/>
  <c r="L129"/>
  <c r="L128" s="1"/>
  <c r="M129"/>
  <c r="M128" s="1"/>
  <c r="N129"/>
  <c r="N128" s="1"/>
  <c r="O129"/>
  <c r="O128" s="1"/>
  <c r="P129"/>
  <c r="Q129"/>
  <c r="Q128" s="1"/>
  <c r="S129"/>
  <c r="S128" s="1"/>
  <c r="T129"/>
  <c r="T128" s="1"/>
  <c r="U129"/>
  <c r="U128" s="1"/>
  <c r="V129"/>
  <c r="V128" s="1"/>
  <c r="X129"/>
  <c r="X128" s="1"/>
  <c r="Y129"/>
  <c r="Y128" s="1"/>
  <c r="Z129"/>
  <c r="Z128" s="1"/>
  <c r="AA129"/>
  <c r="AA128" s="1"/>
  <c r="AC129"/>
  <c r="AC128" s="1"/>
  <c r="AD129"/>
  <c r="AD128" s="1"/>
  <c r="AE129"/>
  <c r="AE128" s="1"/>
  <c r="AF129"/>
  <c r="AF128" s="1"/>
  <c r="AG129"/>
  <c r="AG128" s="1"/>
  <c r="AH129"/>
  <c r="AH128" s="1"/>
  <c r="AI129"/>
  <c r="AI128" s="1"/>
  <c r="AJ129"/>
  <c r="AJ128" s="1"/>
  <c r="AK129"/>
  <c r="AK128" s="1"/>
  <c r="AL129"/>
  <c r="AL128" s="1"/>
  <c r="AM129"/>
  <c r="AM128" s="1"/>
  <c r="AN129"/>
  <c r="AN128" s="1"/>
  <c r="I129"/>
  <c r="I128" s="1"/>
  <c r="J126"/>
  <c r="J125" s="1"/>
  <c r="K126"/>
  <c r="K125" s="1"/>
  <c r="L126"/>
  <c r="L125" s="1"/>
  <c r="M126"/>
  <c r="M125" s="1"/>
  <c r="N126"/>
  <c r="N125" s="1"/>
  <c r="O126"/>
  <c r="O125" s="1"/>
  <c r="P126"/>
  <c r="Q126"/>
  <c r="Q125" s="1"/>
  <c r="S126"/>
  <c r="S125" s="1"/>
  <c r="T126"/>
  <c r="T125" s="1"/>
  <c r="U126"/>
  <c r="U125" s="1"/>
  <c r="V126"/>
  <c r="V125" s="1"/>
  <c r="X126"/>
  <c r="X125" s="1"/>
  <c r="Y126"/>
  <c r="Y125" s="1"/>
  <c r="Z126"/>
  <c r="Z125" s="1"/>
  <c r="AA126"/>
  <c r="AA125" s="1"/>
  <c r="AC126"/>
  <c r="AC125" s="1"/>
  <c r="AD126"/>
  <c r="AD125" s="1"/>
  <c r="AE126"/>
  <c r="AE125" s="1"/>
  <c r="AF126"/>
  <c r="AF125" s="1"/>
  <c r="AG126"/>
  <c r="AG125" s="1"/>
  <c r="AH126"/>
  <c r="AH125" s="1"/>
  <c r="AI126"/>
  <c r="AI125" s="1"/>
  <c r="AJ126"/>
  <c r="AJ125" s="1"/>
  <c r="AK126"/>
  <c r="AK125" s="1"/>
  <c r="AL126"/>
  <c r="AL125" s="1"/>
  <c r="AM126"/>
  <c r="AM125" s="1"/>
  <c r="AN126"/>
  <c r="AN125" s="1"/>
  <c r="J122"/>
  <c r="K122"/>
  <c r="L122"/>
  <c r="M122"/>
  <c r="N122"/>
  <c r="O122"/>
  <c r="P122"/>
  <c r="Q122"/>
  <c r="S122"/>
  <c r="T122"/>
  <c r="U122"/>
  <c r="V122"/>
  <c r="X122"/>
  <c r="Y122"/>
  <c r="Z122"/>
  <c r="AA122"/>
  <c r="AC122"/>
  <c r="AD122"/>
  <c r="AE122"/>
  <c r="AO122" s="1"/>
  <c r="AF122"/>
  <c r="AG122"/>
  <c r="AH122"/>
  <c r="AI122"/>
  <c r="AJ122"/>
  <c r="AK122"/>
  <c r="AL122"/>
  <c r="AM122"/>
  <c r="AN122"/>
  <c r="J123"/>
  <c r="K123"/>
  <c r="L123"/>
  <c r="M123"/>
  <c r="N123"/>
  <c r="O123"/>
  <c r="P123"/>
  <c r="Q123"/>
  <c r="S123"/>
  <c r="T123"/>
  <c r="U123"/>
  <c r="V123"/>
  <c r="X123"/>
  <c r="Y123"/>
  <c r="Z123"/>
  <c r="AA123"/>
  <c r="AC123"/>
  <c r="AD123"/>
  <c r="AE123"/>
  <c r="AF123"/>
  <c r="AG123"/>
  <c r="AH123"/>
  <c r="AI123"/>
  <c r="AJ123"/>
  <c r="AK123"/>
  <c r="AL123"/>
  <c r="AM123"/>
  <c r="AN123"/>
  <c r="J120"/>
  <c r="K120"/>
  <c r="L120"/>
  <c r="M120"/>
  <c r="N120"/>
  <c r="O120"/>
  <c r="P120"/>
  <c r="Q120"/>
  <c r="S120"/>
  <c r="T120"/>
  <c r="U120"/>
  <c r="V120"/>
  <c r="X120"/>
  <c r="Y120"/>
  <c r="Z120"/>
  <c r="AA120"/>
  <c r="AC120"/>
  <c r="AD120"/>
  <c r="AE120"/>
  <c r="AF120"/>
  <c r="AG120"/>
  <c r="AH120"/>
  <c r="AI120"/>
  <c r="AJ120"/>
  <c r="AK120"/>
  <c r="AL120"/>
  <c r="AM120"/>
  <c r="AN120"/>
  <c r="J117"/>
  <c r="J116" s="1"/>
  <c r="K117"/>
  <c r="K116" s="1"/>
  <c r="L117"/>
  <c r="L116" s="1"/>
  <c r="M117"/>
  <c r="M116" s="1"/>
  <c r="N117"/>
  <c r="N116" s="1"/>
  <c r="O117"/>
  <c r="O116" s="1"/>
  <c r="P117"/>
  <c r="Q117"/>
  <c r="Q116" s="1"/>
  <c r="S117"/>
  <c r="S116" s="1"/>
  <c r="T117"/>
  <c r="T116" s="1"/>
  <c r="U117"/>
  <c r="U116" s="1"/>
  <c r="V117"/>
  <c r="V116" s="1"/>
  <c r="X117"/>
  <c r="X116" s="1"/>
  <c r="Y117"/>
  <c r="Y116" s="1"/>
  <c r="Z117"/>
  <c r="Z116" s="1"/>
  <c r="AA117"/>
  <c r="AA116" s="1"/>
  <c r="AC117"/>
  <c r="AC116" s="1"/>
  <c r="AD117"/>
  <c r="AD116" s="1"/>
  <c r="AE117"/>
  <c r="AE116" s="1"/>
  <c r="AF117"/>
  <c r="AF116" s="1"/>
  <c r="AG117"/>
  <c r="AG116" s="1"/>
  <c r="AH117"/>
  <c r="AH116" s="1"/>
  <c r="AI117"/>
  <c r="AI116" s="1"/>
  <c r="AJ117"/>
  <c r="AJ116" s="1"/>
  <c r="AK117"/>
  <c r="AK116" s="1"/>
  <c r="AL117"/>
  <c r="AL116" s="1"/>
  <c r="AM117"/>
  <c r="AM116" s="1"/>
  <c r="AN117"/>
  <c r="AN116" s="1"/>
  <c r="J114"/>
  <c r="K114"/>
  <c r="L114"/>
  <c r="M114"/>
  <c r="N114"/>
  <c r="O114"/>
  <c r="P114"/>
  <c r="Q114"/>
  <c r="R114"/>
  <c r="S114"/>
  <c r="T114"/>
  <c r="U114"/>
  <c r="V114"/>
  <c r="W114"/>
  <c r="X114"/>
  <c r="Y114"/>
  <c r="Z114"/>
  <c r="AA114"/>
  <c r="AB114"/>
  <c r="AC114"/>
  <c r="AD114"/>
  <c r="AE114"/>
  <c r="AF114"/>
  <c r="AG114"/>
  <c r="AH114"/>
  <c r="AI114"/>
  <c r="AJ114"/>
  <c r="AK114"/>
  <c r="AL114"/>
  <c r="AM114"/>
  <c r="AN114"/>
  <c r="I114"/>
  <c r="J110"/>
  <c r="K110"/>
  <c r="L110"/>
  <c r="M110"/>
  <c r="N110"/>
  <c r="O110"/>
  <c r="P110"/>
  <c r="Q110"/>
  <c r="S110"/>
  <c r="T110"/>
  <c r="U110"/>
  <c r="V110"/>
  <c r="X110"/>
  <c r="Y110"/>
  <c r="Z110"/>
  <c r="AA110"/>
  <c r="AC110"/>
  <c r="AD110"/>
  <c r="AE110"/>
  <c r="AF110"/>
  <c r="AG110"/>
  <c r="AH110"/>
  <c r="AI110"/>
  <c r="AJ110"/>
  <c r="AK110"/>
  <c r="AL110"/>
  <c r="AM110"/>
  <c r="AN110"/>
  <c r="J100"/>
  <c r="K100"/>
  <c r="L100"/>
  <c r="M100"/>
  <c r="N100"/>
  <c r="O100"/>
  <c r="P100"/>
  <c r="Q100"/>
  <c r="S100"/>
  <c r="T100"/>
  <c r="U100"/>
  <c r="V100"/>
  <c r="X100"/>
  <c r="Y100"/>
  <c r="Z100"/>
  <c r="AA100"/>
  <c r="AC100"/>
  <c r="AD100"/>
  <c r="AE100"/>
  <c r="AF100"/>
  <c r="AG100"/>
  <c r="AH100"/>
  <c r="AI100"/>
  <c r="AJ100"/>
  <c r="AK100"/>
  <c r="AL100"/>
  <c r="AM100"/>
  <c r="AN100"/>
  <c r="J86"/>
  <c r="N86"/>
  <c r="O86"/>
  <c r="P86"/>
  <c r="Q86"/>
  <c r="S86"/>
  <c r="T86"/>
  <c r="U86"/>
  <c r="V86"/>
  <c r="X86"/>
  <c r="Y86"/>
  <c r="Z86"/>
  <c r="AA86"/>
  <c r="AC86"/>
  <c r="AD86"/>
  <c r="AE86"/>
  <c r="AF86"/>
  <c r="AG86"/>
  <c r="AH86"/>
  <c r="AI86"/>
  <c r="AJ86"/>
  <c r="AK86"/>
  <c r="AL86"/>
  <c r="AM86"/>
  <c r="AN86"/>
  <c r="I86"/>
  <c r="J82"/>
  <c r="J81" s="1"/>
  <c r="K82"/>
  <c r="K81" s="1"/>
  <c r="L82"/>
  <c r="L81" s="1"/>
  <c r="M82"/>
  <c r="M81" s="1"/>
  <c r="N82"/>
  <c r="N81" s="1"/>
  <c r="O82"/>
  <c r="O81" s="1"/>
  <c r="P82"/>
  <c r="Q82"/>
  <c r="Q81" s="1"/>
  <c r="S82"/>
  <c r="S81" s="1"/>
  <c r="T82"/>
  <c r="T81" s="1"/>
  <c r="U82"/>
  <c r="U81" s="1"/>
  <c r="V82"/>
  <c r="V81" s="1"/>
  <c r="X82"/>
  <c r="X81" s="1"/>
  <c r="Y82"/>
  <c r="Y81" s="1"/>
  <c r="Z82"/>
  <c r="Z81" s="1"/>
  <c r="AA82"/>
  <c r="AA81" s="1"/>
  <c r="AC82"/>
  <c r="AC81" s="1"/>
  <c r="AD82"/>
  <c r="AD81" s="1"/>
  <c r="AE82"/>
  <c r="AE81" s="1"/>
  <c r="AF82"/>
  <c r="AF81" s="1"/>
  <c r="AG82"/>
  <c r="AG81" s="1"/>
  <c r="AH82"/>
  <c r="AH81" s="1"/>
  <c r="AI82"/>
  <c r="AI81" s="1"/>
  <c r="AJ82"/>
  <c r="AJ81" s="1"/>
  <c r="AK82"/>
  <c r="AK81" s="1"/>
  <c r="AL82"/>
  <c r="AL81" s="1"/>
  <c r="AM82"/>
  <c r="AM81" s="1"/>
  <c r="AN82"/>
  <c r="AN81" s="1"/>
  <c r="J83"/>
  <c r="K83"/>
  <c r="L83"/>
  <c r="M83"/>
  <c r="N83"/>
  <c r="O83"/>
  <c r="P83"/>
  <c r="Q83"/>
  <c r="S83"/>
  <c r="T83"/>
  <c r="U83"/>
  <c r="V83"/>
  <c r="X83"/>
  <c r="Y83"/>
  <c r="Z83"/>
  <c r="AA83"/>
  <c r="AC83"/>
  <c r="AD83"/>
  <c r="AE83"/>
  <c r="AF83"/>
  <c r="AG83"/>
  <c r="AH83"/>
  <c r="AI83"/>
  <c r="AJ83"/>
  <c r="AK83"/>
  <c r="AL83"/>
  <c r="AM83"/>
  <c r="AN83"/>
  <c r="J79"/>
  <c r="J78" s="1"/>
  <c r="K79"/>
  <c r="K78" s="1"/>
  <c r="L79"/>
  <c r="L78" s="1"/>
  <c r="M79"/>
  <c r="M78" s="1"/>
  <c r="N79"/>
  <c r="N78" s="1"/>
  <c r="O79"/>
  <c r="O78" s="1"/>
  <c r="P79"/>
  <c r="P78" s="1"/>
  <c r="Q79"/>
  <c r="Q78" s="1"/>
  <c r="S79"/>
  <c r="S78" s="1"/>
  <c r="T79"/>
  <c r="T78" s="1"/>
  <c r="U79"/>
  <c r="U78" s="1"/>
  <c r="V79"/>
  <c r="V78" s="1"/>
  <c r="X79"/>
  <c r="X78" s="1"/>
  <c r="Y79"/>
  <c r="Y78" s="1"/>
  <c r="Z79"/>
  <c r="Z78" s="1"/>
  <c r="AA79"/>
  <c r="AA78" s="1"/>
  <c r="AC79"/>
  <c r="AC78" s="1"/>
  <c r="AD79"/>
  <c r="AD78" s="1"/>
  <c r="AE79"/>
  <c r="AF79"/>
  <c r="AF78" s="1"/>
  <c r="AG79"/>
  <c r="AG78" s="1"/>
  <c r="AH79"/>
  <c r="AH78" s="1"/>
  <c r="AI79"/>
  <c r="AI78" s="1"/>
  <c r="AJ79"/>
  <c r="AJ78" s="1"/>
  <c r="AK79"/>
  <c r="AK78" s="1"/>
  <c r="AL79"/>
  <c r="AL78" s="1"/>
  <c r="AM79"/>
  <c r="AM78" s="1"/>
  <c r="AN79"/>
  <c r="AN78" s="1"/>
  <c r="J69"/>
  <c r="L69"/>
  <c r="M69"/>
  <c r="N69"/>
  <c r="O69"/>
  <c r="P69"/>
  <c r="Q69"/>
  <c r="S69"/>
  <c r="T69"/>
  <c r="U69"/>
  <c r="V69"/>
  <c r="X69"/>
  <c r="Y69"/>
  <c r="Z69"/>
  <c r="AA69"/>
  <c r="AC69"/>
  <c r="AD69"/>
  <c r="AE69"/>
  <c r="AF69"/>
  <c r="AG69"/>
  <c r="AH69"/>
  <c r="AI69"/>
  <c r="AJ69"/>
  <c r="AK69"/>
  <c r="AL69"/>
  <c r="AM69"/>
  <c r="AN69"/>
  <c r="I69"/>
  <c r="J64"/>
  <c r="J63" s="1"/>
  <c r="J62" s="1"/>
  <c r="K64"/>
  <c r="K63" s="1"/>
  <c r="K62" s="1"/>
  <c r="L64"/>
  <c r="L63" s="1"/>
  <c r="L62" s="1"/>
  <c r="M64"/>
  <c r="M63" s="1"/>
  <c r="M62" s="1"/>
  <c r="N64"/>
  <c r="N63" s="1"/>
  <c r="N62" s="1"/>
  <c r="O64"/>
  <c r="O63" s="1"/>
  <c r="O62" s="1"/>
  <c r="P64"/>
  <c r="Q64"/>
  <c r="Q63" s="1"/>
  <c r="Q62" s="1"/>
  <c r="S64"/>
  <c r="S63" s="1"/>
  <c r="S62" s="1"/>
  <c r="T64"/>
  <c r="T63" s="1"/>
  <c r="T62" s="1"/>
  <c r="U64"/>
  <c r="U63" s="1"/>
  <c r="U62" s="1"/>
  <c r="V64"/>
  <c r="V63" s="1"/>
  <c r="V62" s="1"/>
  <c r="X64"/>
  <c r="X63" s="1"/>
  <c r="X62" s="1"/>
  <c r="Y64"/>
  <c r="Y63" s="1"/>
  <c r="Y62" s="1"/>
  <c r="Z64"/>
  <c r="Z63" s="1"/>
  <c r="Z62" s="1"/>
  <c r="AC64"/>
  <c r="AC63" s="1"/>
  <c r="AC62" s="1"/>
  <c r="AD64"/>
  <c r="AD63" s="1"/>
  <c r="AD62" s="1"/>
  <c r="AE64"/>
  <c r="AE63" s="1"/>
  <c r="AE62" s="1"/>
  <c r="AF64"/>
  <c r="AF63" s="1"/>
  <c r="AF62" s="1"/>
  <c r="AG64"/>
  <c r="AG63" s="1"/>
  <c r="AG62" s="1"/>
  <c r="AH64"/>
  <c r="AH63" s="1"/>
  <c r="AH62" s="1"/>
  <c r="AI64"/>
  <c r="AI63" s="1"/>
  <c r="AI62" s="1"/>
  <c r="AJ64"/>
  <c r="AJ63" s="1"/>
  <c r="AJ62" s="1"/>
  <c r="AK64"/>
  <c r="AK63" s="1"/>
  <c r="AK62" s="1"/>
  <c r="AL64"/>
  <c r="AL63" s="1"/>
  <c r="AL62" s="1"/>
  <c r="AM64"/>
  <c r="AM63" s="1"/>
  <c r="AM62" s="1"/>
  <c r="AN64"/>
  <c r="AN63" s="1"/>
  <c r="AN62" s="1"/>
  <c r="J59"/>
  <c r="J58" s="1"/>
  <c r="K59"/>
  <c r="K58" s="1"/>
  <c r="L59"/>
  <c r="L58" s="1"/>
  <c r="M59"/>
  <c r="M58" s="1"/>
  <c r="N59"/>
  <c r="N58" s="1"/>
  <c r="O59"/>
  <c r="O58" s="1"/>
  <c r="P59"/>
  <c r="P58" s="1"/>
  <c r="Q59"/>
  <c r="Q58" s="1"/>
  <c r="S59"/>
  <c r="S58" s="1"/>
  <c r="T59"/>
  <c r="T58" s="1"/>
  <c r="U59"/>
  <c r="U58" s="1"/>
  <c r="V59"/>
  <c r="V58" s="1"/>
  <c r="X59"/>
  <c r="X58" s="1"/>
  <c r="Y59"/>
  <c r="Y58" s="1"/>
  <c r="Z59"/>
  <c r="Z58" s="1"/>
  <c r="AA59"/>
  <c r="AA58" s="1"/>
  <c r="AC59"/>
  <c r="AC58" s="1"/>
  <c r="AD59"/>
  <c r="AD58" s="1"/>
  <c r="AE59"/>
  <c r="AF59"/>
  <c r="AF58" s="1"/>
  <c r="AG59"/>
  <c r="AG58" s="1"/>
  <c r="AH59"/>
  <c r="AH58" s="1"/>
  <c r="AI59"/>
  <c r="AI58" s="1"/>
  <c r="AJ59"/>
  <c r="AJ58" s="1"/>
  <c r="AK59"/>
  <c r="AK58" s="1"/>
  <c r="AL59"/>
  <c r="AL58" s="1"/>
  <c r="AM59"/>
  <c r="AM58" s="1"/>
  <c r="AN59"/>
  <c r="AN58" s="1"/>
  <c r="J60"/>
  <c r="K60"/>
  <c r="L60"/>
  <c r="M60"/>
  <c r="N60"/>
  <c r="O60"/>
  <c r="P60"/>
  <c r="Q60"/>
  <c r="S60"/>
  <c r="T60"/>
  <c r="U60"/>
  <c r="V60"/>
  <c r="X60"/>
  <c r="Y60"/>
  <c r="Z60"/>
  <c r="AA60"/>
  <c r="AC60"/>
  <c r="AD60"/>
  <c r="AE60"/>
  <c r="AF60"/>
  <c r="AG60"/>
  <c r="AH60"/>
  <c r="AI60"/>
  <c r="AJ60"/>
  <c r="AK60"/>
  <c r="AL60"/>
  <c r="AM60"/>
  <c r="AN60"/>
  <c r="K55"/>
  <c r="K54" s="1"/>
  <c r="L55"/>
  <c r="L54" s="1"/>
  <c r="M55"/>
  <c r="M54" s="1"/>
  <c r="N55"/>
  <c r="N54" s="1"/>
  <c r="O55"/>
  <c r="O54" s="1"/>
  <c r="P55"/>
  <c r="P54" s="1"/>
  <c r="Q55"/>
  <c r="Q54" s="1"/>
  <c r="S55"/>
  <c r="S54" s="1"/>
  <c r="T55"/>
  <c r="T54" s="1"/>
  <c r="U55"/>
  <c r="U54" s="1"/>
  <c r="V55"/>
  <c r="V54" s="1"/>
  <c r="X55"/>
  <c r="X54" s="1"/>
  <c r="Y55"/>
  <c r="Y54" s="1"/>
  <c r="Z55"/>
  <c r="Z54" s="1"/>
  <c r="AA55"/>
  <c r="AA54" s="1"/>
  <c r="AC55"/>
  <c r="AC54" s="1"/>
  <c r="AD55"/>
  <c r="AD54" s="1"/>
  <c r="AE55"/>
  <c r="AF55"/>
  <c r="AF54" s="1"/>
  <c r="AG55"/>
  <c r="AG54" s="1"/>
  <c r="AH55"/>
  <c r="AH54" s="1"/>
  <c r="AI55"/>
  <c r="AI54" s="1"/>
  <c r="AJ55"/>
  <c r="AJ54" s="1"/>
  <c r="AK55"/>
  <c r="AK54" s="1"/>
  <c r="AL55"/>
  <c r="AL54" s="1"/>
  <c r="AM55"/>
  <c r="AM54" s="1"/>
  <c r="AN55"/>
  <c r="AN54" s="1"/>
  <c r="K56"/>
  <c r="L56"/>
  <c r="M56"/>
  <c r="N56"/>
  <c r="O56"/>
  <c r="P56"/>
  <c r="Q56"/>
  <c r="S56"/>
  <c r="T56"/>
  <c r="U56"/>
  <c r="V56"/>
  <c r="X56"/>
  <c r="Y56"/>
  <c r="Z56"/>
  <c r="AA56"/>
  <c r="AC56"/>
  <c r="AD56"/>
  <c r="AE56"/>
  <c r="AF56"/>
  <c r="AG56"/>
  <c r="AH56"/>
  <c r="AI56"/>
  <c r="AJ56"/>
  <c r="AK56"/>
  <c r="AL56"/>
  <c r="AM56"/>
  <c r="AN56"/>
  <c r="J51"/>
  <c r="K51"/>
  <c r="L51"/>
  <c r="M51"/>
  <c r="N51"/>
  <c r="O51"/>
  <c r="P51"/>
  <c r="Q51"/>
  <c r="S51"/>
  <c r="T51"/>
  <c r="U51"/>
  <c r="V51"/>
  <c r="X51"/>
  <c r="Y51"/>
  <c r="Z51"/>
  <c r="AA51"/>
  <c r="AC51"/>
  <c r="AD51"/>
  <c r="AE51"/>
  <c r="AF51"/>
  <c r="AG51"/>
  <c r="AH51"/>
  <c r="AI51"/>
  <c r="AJ51"/>
  <c r="AK51"/>
  <c r="AL51"/>
  <c r="AM51"/>
  <c r="AN51"/>
  <c r="I51"/>
  <c r="J49"/>
  <c r="K49"/>
  <c r="L49"/>
  <c r="M49"/>
  <c r="N49"/>
  <c r="O49"/>
  <c r="P49"/>
  <c r="Q49"/>
  <c r="S49"/>
  <c r="T49"/>
  <c r="U49"/>
  <c r="V49"/>
  <c r="X49"/>
  <c r="Y49"/>
  <c r="Z49"/>
  <c r="AA49"/>
  <c r="AC49"/>
  <c r="AD49"/>
  <c r="AE49"/>
  <c r="AF49"/>
  <c r="AG49"/>
  <c r="AH49"/>
  <c r="AI49"/>
  <c r="AJ49"/>
  <c r="AK49"/>
  <c r="AL49"/>
  <c r="AM49"/>
  <c r="AN49"/>
  <c r="I49"/>
  <c r="AB52"/>
  <c r="W52"/>
  <c r="R52"/>
  <c r="AB50"/>
  <c r="AB49" s="1"/>
  <c r="W50"/>
  <c r="W49" s="1"/>
  <c r="R50"/>
  <c r="R49" s="1"/>
  <c r="J46"/>
  <c r="K46"/>
  <c r="L46"/>
  <c r="M46"/>
  <c r="N46"/>
  <c r="O46"/>
  <c r="P46"/>
  <c r="Q46"/>
  <c r="S46"/>
  <c r="T46"/>
  <c r="U46"/>
  <c r="V46"/>
  <c r="X46"/>
  <c r="Y46"/>
  <c r="Z46"/>
  <c r="AA46"/>
  <c r="AC46"/>
  <c r="AD46"/>
  <c r="AE46"/>
  <c r="AF46"/>
  <c r="AG46"/>
  <c r="AH46"/>
  <c r="AI46"/>
  <c r="AJ46"/>
  <c r="AK46"/>
  <c r="AL46"/>
  <c r="AM46"/>
  <c r="AN46"/>
  <c r="I46"/>
  <c r="J42"/>
  <c r="K42"/>
  <c r="L42"/>
  <c r="M42"/>
  <c r="N42"/>
  <c r="O42"/>
  <c r="P42"/>
  <c r="Q42"/>
  <c r="S42"/>
  <c r="T42"/>
  <c r="U42"/>
  <c r="V42"/>
  <c r="X42"/>
  <c r="Y42"/>
  <c r="Z42"/>
  <c r="AA42"/>
  <c r="AC42"/>
  <c r="AD42"/>
  <c r="AE42"/>
  <c r="AF42"/>
  <c r="AH42"/>
  <c r="AI42"/>
  <c r="AJ42"/>
  <c r="AK42"/>
  <c r="AL42"/>
  <c r="AM42"/>
  <c r="AN42"/>
  <c r="J43"/>
  <c r="K43"/>
  <c r="L43"/>
  <c r="M43"/>
  <c r="N43"/>
  <c r="O43"/>
  <c r="P43"/>
  <c r="Q43"/>
  <c r="S43"/>
  <c r="T43"/>
  <c r="U43"/>
  <c r="V43"/>
  <c r="X43"/>
  <c r="Y43"/>
  <c r="Z43"/>
  <c r="AA43"/>
  <c r="AC43"/>
  <c r="AD43"/>
  <c r="AE43"/>
  <c r="AF43"/>
  <c r="AH43"/>
  <c r="AI43"/>
  <c r="AJ43"/>
  <c r="AK43"/>
  <c r="AL43"/>
  <c r="AM43"/>
  <c r="AN43"/>
  <c r="AG44"/>
  <c r="AG43" s="1"/>
  <c r="J39"/>
  <c r="K39"/>
  <c r="L39"/>
  <c r="N39"/>
  <c r="O39"/>
  <c r="P39"/>
  <c r="Q39"/>
  <c r="S39"/>
  <c r="T39"/>
  <c r="U39"/>
  <c r="V39"/>
  <c r="X39"/>
  <c r="Y39"/>
  <c r="Z39"/>
  <c r="AA39"/>
  <c r="AC39"/>
  <c r="AD39"/>
  <c r="AE39"/>
  <c r="AF39"/>
  <c r="AG39"/>
  <c r="AH39"/>
  <c r="AI39"/>
  <c r="AJ39"/>
  <c r="AK39"/>
  <c r="AL39"/>
  <c r="AM39"/>
  <c r="AN39"/>
  <c r="I39"/>
  <c r="J35"/>
  <c r="J34" s="1"/>
  <c r="J33" s="1"/>
  <c r="K35"/>
  <c r="K34" s="1"/>
  <c r="K33" s="1"/>
  <c r="L35"/>
  <c r="L34" s="1"/>
  <c r="L33" s="1"/>
  <c r="M35"/>
  <c r="N35"/>
  <c r="N34" s="1"/>
  <c r="N33" s="1"/>
  <c r="O35"/>
  <c r="O34" s="1"/>
  <c r="O33" s="1"/>
  <c r="P35"/>
  <c r="Q35"/>
  <c r="Q34" s="1"/>
  <c r="Q33" s="1"/>
  <c r="S35"/>
  <c r="S34" s="1"/>
  <c r="S33" s="1"/>
  <c r="T35"/>
  <c r="T34" s="1"/>
  <c r="T33" s="1"/>
  <c r="U35"/>
  <c r="U34" s="1"/>
  <c r="U33" s="1"/>
  <c r="V35"/>
  <c r="V34" s="1"/>
  <c r="V33" s="1"/>
  <c r="X35"/>
  <c r="X34" s="1"/>
  <c r="X33" s="1"/>
  <c r="Y35"/>
  <c r="Y34" s="1"/>
  <c r="Y33" s="1"/>
  <c r="Z35"/>
  <c r="Z34" s="1"/>
  <c r="Z33" s="1"/>
  <c r="AA35"/>
  <c r="AA34" s="1"/>
  <c r="AA33" s="1"/>
  <c r="AC35"/>
  <c r="AC34" s="1"/>
  <c r="AC33" s="1"/>
  <c r="AD35"/>
  <c r="AD34" s="1"/>
  <c r="AD33" s="1"/>
  <c r="AE35"/>
  <c r="AE34" s="1"/>
  <c r="AE33" s="1"/>
  <c r="AF35"/>
  <c r="AF34" s="1"/>
  <c r="AF33" s="1"/>
  <c r="AG35"/>
  <c r="AG34" s="1"/>
  <c r="AG33" s="1"/>
  <c r="AH35"/>
  <c r="AH34" s="1"/>
  <c r="AH33" s="1"/>
  <c r="AI35"/>
  <c r="AI34" s="1"/>
  <c r="AI33" s="1"/>
  <c r="AJ35"/>
  <c r="AJ34" s="1"/>
  <c r="AJ33" s="1"/>
  <c r="AK35"/>
  <c r="AK34" s="1"/>
  <c r="AK33" s="1"/>
  <c r="AL35"/>
  <c r="AL34" s="1"/>
  <c r="AL33" s="1"/>
  <c r="AM35"/>
  <c r="AM34" s="1"/>
  <c r="AM33" s="1"/>
  <c r="AN35"/>
  <c r="AN34" s="1"/>
  <c r="AN33" s="1"/>
  <c r="J31"/>
  <c r="K31"/>
  <c r="L31"/>
  <c r="M31"/>
  <c r="N31"/>
  <c r="O31"/>
  <c r="P31"/>
  <c r="Q31"/>
  <c r="R31"/>
  <c r="S31"/>
  <c r="T31"/>
  <c r="U31"/>
  <c r="V31"/>
  <c r="W31"/>
  <c r="X31"/>
  <c r="Y31"/>
  <c r="Z31"/>
  <c r="AA31"/>
  <c r="AB31"/>
  <c r="AC31"/>
  <c r="AD31"/>
  <c r="AE31"/>
  <c r="AF31"/>
  <c r="AG31"/>
  <c r="AH31"/>
  <c r="AI31"/>
  <c r="AJ31"/>
  <c r="AK31"/>
  <c r="AL31"/>
  <c r="AM31"/>
  <c r="AN31"/>
  <c r="I31"/>
  <c r="AG30"/>
  <c r="AG29" s="1"/>
  <c r="AG28" s="1"/>
  <c r="J29"/>
  <c r="J28" s="1"/>
  <c r="K29"/>
  <c r="K28" s="1"/>
  <c r="L29"/>
  <c r="L28" s="1"/>
  <c r="M29"/>
  <c r="N29"/>
  <c r="N28" s="1"/>
  <c r="O29"/>
  <c r="O28" s="1"/>
  <c r="P29"/>
  <c r="Q29"/>
  <c r="Q28" s="1"/>
  <c r="S29"/>
  <c r="S28" s="1"/>
  <c r="T29"/>
  <c r="T28" s="1"/>
  <c r="U29"/>
  <c r="U28" s="1"/>
  <c r="V29"/>
  <c r="V28" s="1"/>
  <c r="X29"/>
  <c r="X28" s="1"/>
  <c r="Y29"/>
  <c r="Y28" s="1"/>
  <c r="Z29"/>
  <c r="Z28" s="1"/>
  <c r="AA29"/>
  <c r="AA28" s="1"/>
  <c r="AC29"/>
  <c r="AC28" s="1"/>
  <c r="AD29"/>
  <c r="AD28" s="1"/>
  <c r="AE29"/>
  <c r="AE28" s="1"/>
  <c r="AF29"/>
  <c r="AF28" s="1"/>
  <c r="AH29"/>
  <c r="AH28" s="1"/>
  <c r="AI29"/>
  <c r="AI28" s="1"/>
  <c r="AJ29"/>
  <c r="AJ28" s="1"/>
  <c r="AK29"/>
  <c r="AK28" s="1"/>
  <c r="AL29"/>
  <c r="AL28" s="1"/>
  <c r="AM29"/>
  <c r="AM28" s="1"/>
  <c r="AN29"/>
  <c r="AN28" s="1"/>
  <c r="J26"/>
  <c r="K26"/>
  <c r="L26"/>
  <c r="M26"/>
  <c r="N26"/>
  <c r="O26"/>
  <c r="P26"/>
  <c r="Q26"/>
  <c r="S26"/>
  <c r="T26"/>
  <c r="U26"/>
  <c r="V26"/>
  <c r="X26"/>
  <c r="Y26"/>
  <c r="Z26"/>
  <c r="AA26"/>
  <c r="AB26"/>
  <c r="AC26"/>
  <c r="AD26"/>
  <c r="AE26"/>
  <c r="AF26"/>
  <c r="AG26"/>
  <c r="AH26"/>
  <c r="AI26"/>
  <c r="AJ26"/>
  <c r="AK26"/>
  <c r="AL26"/>
  <c r="AM26"/>
  <c r="AN26"/>
  <c r="J23"/>
  <c r="J22" s="1"/>
  <c r="K23"/>
  <c r="K22" s="1"/>
  <c r="L23"/>
  <c r="L22" s="1"/>
  <c r="M23"/>
  <c r="N23"/>
  <c r="N22" s="1"/>
  <c r="O23"/>
  <c r="O22" s="1"/>
  <c r="P23"/>
  <c r="Q23"/>
  <c r="Q22" s="1"/>
  <c r="R23"/>
  <c r="R22" s="1"/>
  <c r="S23"/>
  <c r="S22" s="1"/>
  <c r="T23"/>
  <c r="T22" s="1"/>
  <c r="U23"/>
  <c r="U22" s="1"/>
  <c r="V23"/>
  <c r="V22" s="1"/>
  <c r="W23"/>
  <c r="W22" s="1"/>
  <c r="X23"/>
  <c r="X22" s="1"/>
  <c r="Y23"/>
  <c r="Y22" s="1"/>
  <c r="Z23"/>
  <c r="Z22" s="1"/>
  <c r="AA23"/>
  <c r="AA22" s="1"/>
  <c r="AB23"/>
  <c r="AB22" s="1"/>
  <c r="AC23"/>
  <c r="AC22" s="1"/>
  <c r="AD23"/>
  <c r="AD22" s="1"/>
  <c r="AE23"/>
  <c r="AE22" s="1"/>
  <c r="AF23"/>
  <c r="AF22" s="1"/>
  <c r="AG23"/>
  <c r="AG22" s="1"/>
  <c r="AH23"/>
  <c r="AH22" s="1"/>
  <c r="AI23"/>
  <c r="AI22" s="1"/>
  <c r="AJ23"/>
  <c r="AJ22" s="1"/>
  <c r="AK23"/>
  <c r="AK22" s="1"/>
  <c r="AL23"/>
  <c r="AL22" s="1"/>
  <c r="AM23"/>
  <c r="AM22" s="1"/>
  <c r="AN23"/>
  <c r="AN22" s="1"/>
  <c r="I23"/>
  <c r="I22" s="1"/>
  <c r="AG21"/>
  <c r="AG20" s="1"/>
  <c r="J19"/>
  <c r="K19"/>
  <c r="L19"/>
  <c r="M19"/>
  <c r="N19"/>
  <c r="O19"/>
  <c r="P19"/>
  <c r="Q19"/>
  <c r="S19"/>
  <c r="T19"/>
  <c r="U19"/>
  <c r="V19"/>
  <c r="X19"/>
  <c r="Y19"/>
  <c r="Z19"/>
  <c r="AA19"/>
  <c r="AC19"/>
  <c r="AD19"/>
  <c r="AE19"/>
  <c r="AF19"/>
  <c r="AH19"/>
  <c r="AI19"/>
  <c r="AJ19"/>
  <c r="AK19"/>
  <c r="AL19"/>
  <c r="AM19"/>
  <c r="AN19"/>
  <c r="J20"/>
  <c r="K20"/>
  <c r="L20"/>
  <c r="M20"/>
  <c r="N20"/>
  <c r="O20"/>
  <c r="P20"/>
  <c r="Q20"/>
  <c r="S20"/>
  <c r="T20"/>
  <c r="U20"/>
  <c r="V20"/>
  <c r="X20"/>
  <c r="Y20"/>
  <c r="Z20"/>
  <c r="AA20"/>
  <c r="AC20"/>
  <c r="AD20"/>
  <c r="AE20"/>
  <c r="AF20"/>
  <c r="AH20"/>
  <c r="AI20"/>
  <c r="AJ20"/>
  <c r="AK20"/>
  <c r="AL20"/>
  <c r="AM20"/>
  <c r="AN20"/>
  <c r="J17"/>
  <c r="K17"/>
  <c r="L17"/>
  <c r="M17"/>
  <c r="N17"/>
  <c r="O17"/>
  <c r="P17"/>
  <c r="Q17"/>
  <c r="S17"/>
  <c r="T17"/>
  <c r="U17"/>
  <c r="V17"/>
  <c r="X17"/>
  <c r="Y17"/>
  <c r="Z17"/>
  <c r="AA17"/>
  <c r="AB17"/>
  <c r="AC17"/>
  <c r="AD17"/>
  <c r="AE17"/>
  <c r="AF17"/>
  <c r="AG17"/>
  <c r="AH17"/>
  <c r="AI17"/>
  <c r="AJ17"/>
  <c r="AK17"/>
  <c r="AL17"/>
  <c r="AM17"/>
  <c r="AN17"/>
  <c r="AB155"/>
  <c r="AA155"/>
  <c r="AB154"/>
  <c r="AA154"/>
  <c r="W154"/>
  <c r="R154"/>
  <c r="AB153"/>
  <c r="AA153"/>
  <c r="W153"/>
  <c r="R153"/>
  <c r="AB152"/>
  <c r="AA152"/>
  <c r="W152"/>
  <c r="R152"/>
  <c r="W148"/>
  <c r="R148"/>
  <c r="W147"/>
  <c r="R147"/>
  <c r="AB146"/>
  <c r="W146"/>
  <c r="R146"/>
  <c r="AR146" s="1"/>
  <c r="AB145"/>
  <c r="W145"/>
  <c r="R145"/>
  <c r="AR145" s="1"/>
  <c r="AB144"/>
  <c r="W144"/>
  <c r="R144"/>
  <c r="W141"/>
  <c r="R141"/>
  <c r="AB138"/>
  <c r="AA138"/>
  <c r="W138"/>
  <c r="R138"/>
  <c r="AC137"/>
  <c r="AB137" s="1"/>
  <c r="W137"/>
  <c r="R137"/>
  <c r="AB136"/>
  <c r="AA136"/>
  <c r="W136"/>
  <c r="R136"/>
  <c r="W132"/>
  <c r="R132"/>
  <c r="AB131"/>
  <c r="W131"/>
  <c r="R131"/>
  <c r="AB130"/>
  <c r="W130"/>
  <c r="R130"/>
  <c r="AB127"/>
  <c r="AB126" s="1"/>
  <c r="AB125" s="1"/>
  <c r="W127"/>
  <c r="W126" s="1"/>
  <c r="W125" s="1"/>
  <c r="R127"/>
  <c r="R126" s="1"/>
  <c r="R125" s="1"/>
  <c r="AB124"/>
  <c r="AB123" s="1"/>
  <c r="W124"/>
  <c r="W122" s="1"/>
  <c r="R124"/>
  <c r="R123" s="1"/>
  <c r="AB121"/>
  <c r="AB120" s="1"/>
  <c r="W121"/>
  <c r="W120" s="1"/>
  <c r="R121"/>
  <c r="R120" s="1"/>
  <c r="AB118"/>
  <c r="AB117" s="1"/>
  <c r="AB116" s="1"/>
  <c r="W118"/>
  <c r="W117" s="1"/>
  <c r="W116" s="1"/>
  <c r="R118"/>
  <c r="R117" s="1"/>
  <c r="R116" s="1"/>
  <c r="AB113"/>
  <c r="W113"/>
  <c r="R113"/>
  <c r="AB112"/>
  <c r="W112"/>
  <c r="R112"/>
  <c r="AB111"/>
  <c r="W111"/>
  <c r="R111"/>
  <c r="AB109"/>
  <c r="W109"/>
  <c r="R109"/>
  <c r="AB108"/>
  <c r="W108"/>
  <c r="R108"/>
  <c r="AB107"/>
  <c r="W107"/>
  <c r="R107"/>
  <c r="AB106"/>
  <c r="W106"/>
  <c r="R106"/>
  <c r="AB105"/>
  <c r="W105"/>
  <c r="R105"/>
  <c r="AB104"/>
  <c r="W104"/>
  <c r="R104"/>
  <c r="AB103"/>
  <c r="W103"/>
  <c r="R103"/>
  <c r="AB102"/>
  <c r="W102"/>
  <c r="R102"/>
  <c r="AB101"/>
  <c r="W101"/>
  <c r="R101"/>
  <c r="AB98"/>
  <c r="W98"/>
  <c r="R98"/>
  <c r="AB97"/>
  <c r="W97"/>
  <c r="R97"/>
  <c r="AB96"/>
  <c r="W96"/>
  <c r="R96"/>
  <c r="AB95"/>
  <c r="W95"/>
  <c r="R95"/>
  <c r="AB94"/>
  <c r="W94"/>
  <c r="R94"/>
  <c r="AB93"/>
  <c r="W93"/>
  <c r="R93"/>
  <c r="AB92"/>
  <c r="W92"/>
  <c r="R92"/>
  <c r="AB91"/>
  <c r="W91"/>
  <c r="R91"/>
  <c r="AB90"/>
  <c r="W90"/>
  <c r="R90"/>
  <c r="AB89"/>
  <c r="W89"/>
  <c r="R89"/>
  <c r="AB87"/>
  <c r="W87"/>
  <c r="R87"/>
  <c r="AB84"/>
  <c r="AB83" s="1"/>
  <c r="W84"/>
  <c r="W82" s="1"/>
  <c r="W81" s="1"/>
  <c r="R84"/>
  <c r="R83" s="1"/>
  <c r="AB80"/>
  <c r="AB79" s="1"/>
  <c r="AB78" s="1"/>
  <c r="W80"/>
  <c r="W79" s="1"/>
  <c r="W78" s="1"/>
  <c r="R80"/>
  <c r="R79" s="1"/>
  <c r="R78" s="1"/>
  <c r="AB77"/>
  <c r="W77"/>
  <c r="R77"/>
  <c r="AB76"/>
  <c r="W76"/>
  <c r="R76"/>
  <c r="AB75"/>
  <c r="W75"/>
  <c r="R75"/>
  <c r="AB74"/>
  <c r="W74"/>
  <c r="R74"/>
  <c r="AB73"/>
  <c r="W73"/>
  <c r="R73"/>
  <c r="AB72"/>
  <c r="W72"/>
  <c r="R72"/>
  <c r="AB71"/>
  <c r="W71"/>
  <c r="R71"/>
  <c r="AB70"/>
  <c r="W70"/>
  <c r="R70"/>
  <c r="AB66"/>
  <c r="AA66"/>
  <c r="AA64" s="1"/>
  <c r="AA63" s="1"/>
  <c r="AA62" s="1"/>
  <c r="W66"/>
  <c r="R66"/>
  <c r="AB65"/>
  <c r="W65"/>
  <c r="R65"/>
  <c r="AB61"/>
  <c r="AB60" s="1"/>
  <c r="W61"/>
  <c r="W59" s="1"/>
  <c r="W58" s="1"/>
  <c r="R61"/>
  <c r="R60" s="1"/>
  <c r="AB57"/>
  <c r="AB56" s="1"/>
  <c r="W57"/>
  <c r="W55" s="1"/>
  <c r="W54" s="1"/>
  <c r="R57"/>
  <c r="R56" s="1"/>
  <c r="AB53"/>
  <c r="W53"/>
  <c r="R53"/>
  <c r="AB47"/>
  <c r="AB46" s="1"/>
  <c r="W47"/>
  <c r="W46" s="1"/>
  <c r="R47"/>
  <c r="R46" s="1"/>
  <c r="AB44"/>
  <c r="AB43" s="1"/>
  <c r="W44"/>
  <c r="W42" s="1"/>
  <c r="R44"/>
  <c r="R42" s="1"/>
  <c r="AB41"/>
  <c r="W41"/>
  <c r="R41"/>
  <c r="AB40"/>
  <c r="W40"/>
  <c r="R40"/>
  <c r="AB37"/>
  <c r="W37"/>
  <c r="R37"/>
  <c r="AB36"/>
  <c r="W36"/>
  <c r="R36"/>
  <c r="AB30"/>
  <c r="AB29" s="1"/>
  <c r="AB28" s="1"/>
  <c r="W30"/>
  <c r="W29" s="1"/>
  <c r="W28" s="1"/>
  <c r="R30"/>
  <c r="R29" s="1"/>
  <c r="R28" s="1"/>
  <c r="W27"/>
  <c r="W26" s="1"/>
  <c r="R27"/>
  <c r="R26" s="1"/>
  <c r="AB21"/>
  <c r="AB20" s="1"/>
  <c r="W21"/>
  <c r="W19" s="1"/>
  <c r="R21"/>
  <c r="R20" s="1"/>
  <c r="W18"/>
  <c r="W17" s="1"/>
  <c r="R18"/>
  <c r="R17" s="1"/>
  <c r="M95"/>
  <c r="M39"/>
  <c r="K97"/>
  <c r="L91"/>
  <c r="L86" s="1"/>
  <c r="K91"/>
  <c r="K76"/>
  <c r="K69" s="1"/>
  <c r="I143"/>
  <c r="I142"/>
  <c r="I135"/>
  <c r="I134"/>
  <c r="I126"/>
  <c r="I125" s="1"/>
  <c r="I123"/>
  <c r="I122"/>
  <c r="I120"/>
  <c r="I117"/>
  <c r="I116" s="1"/>
  <c r="I110"/>
  <c r="I100"/>
  <c r="I83"/>
  <c r="I82"/>
  <c r="I81" s="1"/>
  <c r="I79"/>
  <c r="I78" s="1"/>
  <c r="I64"/>
  <c r="I63" s="1"/>
  <c r="I62" s="1"/>
  <c r="I60"/>
  <c r="I59"/>
  <c r="I58" s="1"/>
  <c r="J57"/>
  <c r="J55" s="1"/>
  <c r="J54" s="1"/>
  <c r="I56"/>
  <c r="I55"/>
  <c r="I54" s="1"/>
  <c r="I43"/>
  <c r="I42"/>
  <c r="I35"/>
  <c r="I34" s="1"/>
  <c r="I33" s="1"/>
  <c r="I29"/>
  <c r="I28" s="1"/>
  <c r="I26"/>
  <c r="I20"/>
  <c r="I19"/>
  <c r="I17"/>
  <c r="A3" i="3"/>
  <c r="A3" i="6"/>
  <c r="AP122" l="1"/>
  <c r="AO20"/>
  <c r="AP20" s="1"/>
  <c r="AO110"/>
  <c r="AP110" s="1"/>
  <c r="AO19"/>
  <c r="AP19" s="1"/>
  <c r="AO60"/>
  <c r="AP60" s="1"/>
  <c r="G28" i="3"/>
  <c r="G27" s="1"/>
  <c r="AO43" i="6"/>
  <c r="AP43" s="1"/>
  <c r="AO51"/>
  <c r="AP51" s="1"/>
  <c r="AO142"/>
  <c r="AP142" s="1"/>
  <c r="AO42"/>
  <c r="AP42" s="1"/>
  <c r="AO100"/>
  <c r="AP100" s="1"/>
  <c r="AO123"/>
  <c r="AP123" s="1"/>
  <c r="AO56"/>
  <c r="AP56" s="1"/>
  <c r="AO139"/>
  <c r="AP139" s="1"/>
  <c r="M86"/>
  <c r="AP95"/>
  <c r="M22"/>
  <c r="M28"/>
  <c r="AO69"/>
  <c r="AP69" s="1"/>
  <c r="AO86"/>
  <c r="AO135"/>
  <c r="AP135" s="1"/>
  <c r="P22"/>
  <c r="AO22" s="1"/>
  <c r="AO23"/>
  <c r="AP23" s="1"/>
  <c r="P28"/>
  <c r="AO28" s="1"/>
  <c r="AO29"/>
  <c r="AP29" s="1"/>
  <c r="M34"/>
  <c r="AO49"/>
  <c r="AP49" s="1"/>
  <c r="AO114"/>
  <c r="AP114" s="1"/>
  <c r="P116"/>
  <c r="AO116" s="1"/>
  <c r="AP116" s="1"/>
  <c r="AO117"/>
  <c r="AP117" s="1"/>
  <c r="AO120"/>
  <c r="AP120" s="1"/>
  <c r="P125"/>
  <c r="AO125" s="1"/>
  <c r="AP125" s="1"/>
  <c r="AO126"/>
  <c r="AP126" s="1"/>
  <c r="M150"/>
  <c r="M149" s="1"/>
  <c r="AO17"/>
  <c r="AP17" s="1"/>
  <c r="AO26"/>
  <c r="AP26" s="1"/>
  <c r="AO31"/>
  <c r="AP31" s="1"/>
  <c r="P34"/>
  <c r="AO35"/>
  <c r="AP35" s="1"/>
  <c r="AO46"/>
  <c r="AP46" s="1"/>
  <c r="P128"/>
  <c r="AO128" s="1"/>
  <c r="AP128" s="1"/>
  <c r="AO129"/>
  <c r="AP129" s="1"/>
  <c r="AO134"/>
  <c r="AP134" s="1"/>
  <c r="P150"/>
  <c r="AO151"/>
  <c r="AP151" s="1"/>
  <c r="AO39"/>
  <c r="AP39" s="1"/>
  <c r="P63"/>
  <c r="AO64"/>
  <c r="AP64" s="1"/>
  <c r="AO83"/>
  <c r="AP83" s="1"/>
  <c r="P81"/>
  <c r="AO81" s="1"/>
  <c r="AP81" s="1"/>
  <c r="AO82"/>
  <c r="AP82" s="1"/>
  <c r="D8" i="5"/>
  <c r="K70" i="1"/>
  <c r="L70"/>
  <c r="J70"/>
  <c r="O277"/>
  <c r="O276" s="1"/>
  <c r="O195" s="1"/>
  <c r="O69" s="1"/>
  <c r="O59" s="1"/>
  <c r="O46" s="1"/>
  <c r="N278"/>
  <c r="N279"/>
  <c r="AO30" i="3"/>
  <c r="C8" i="5"/>
  <c r="AE78" i="6"/>
  <c r="AO78" s="1"/>
  <c r="AP78" s="1"/>
  <c r="AO79"/>
  <c r="AP79" s="1"/>
  <c r="AE58"/>
  <c r="AO58" s="1"/>
  <c r="AP58" s="1"/>
  <c r="AO59"/>
  <c r="AP59" s="1"/>
  <c r="AE54"/>
  <c r="AO54" s="1"/>
  <c r="AP54" s="1"/>
  <c r="AO55"/>
  <c r="AP55" s="1"/>
  <c r="M212" i="1"/>
  <c r="M319"/>
  <c r="M316" s="1"/>
  <c r="M282"/>
  <c r="M322"/>
  <c r="M265"/>
  <c r="M186"/>
  <c r="M301"/>
  <c r="M159"/>
  <c r="M176"/>
  <c r="M172" s="1"/>
  <c r="M347"/>
  <c r="M377"/>
  <c r="M190"/>
  <c r="M260"/>
  <c r="M363"/>
  <c r="M181"/>
  <c r="M253"/>
  <c r="M272"/>
  <c r="J112"/>
  <c r="J111" s="1"/>
  <c r="J108" s="1"/>
  <c r="I87"/>
  <c r="I86" s="1"/>
  <c r="M87"/>
  <c r="L87"/>
  <c r="L86" s="1"/>
  <c r="K87"/>
  <c r="K86" s="1"/>
  <c r="J87"/>
  <c r="J86" s="1"/>
  <c r="M133" i="6"/>
  <c r="W129"/>
  <c r="W128" s="1"/>
  <c r="U17" i="3"/>
  <c r="U16" s="1"/>
  <c r="U15" s="1"/>
  <c r="AZ13"/>
  <c r="H27"/>
  <c r="H26" s="1"/>
  <c r="L36"/>
  <c r="L35" s="1"/>
  <c r="L34" s="1"/>
  <c r="L33" s="1"/>
  <c r="G26"/>
  <c r="R36"/>
  <c r="R35" s="1"/>
  <c r="R34" s="1"/>
  <c r="R33" s="1"/>
  <c r="Y133" i="6"/>
  <c r="O119"/>
  <c r="I133"/>
  <c r="AD133"/>
  <c r="P133"/>
  <c r="W151"/>
  <c r="W150" s="1"/>
  <c r="W149" s="1"/>
  <c r="AK119"/>
  <c r="V133"/>
  <c r="S133"/>
  <c r="AE133"/>
  <c r="K133"/>
  <c r="R143"/>
  <c r="W142"/>
  <c r="AA119"/>
  <c r="M119"/>
  <c r="AM133"/>
  <c r="R151"/>
  <c r="R150" s="1"/>
  <c r="R149" s="1"/>
  <c r="U133"/>
  <c r="AN133"/>
  <c r="AB143"/>
  <c r="AA151"/>
  <c r="AA150" s="1"/>
  <c r="AA149" s="1"/>
  <c r="AI133"/>
  <c r="AB151"/>
  <c r="AB150" s="1"/>
  <c r="AB149" s="1"/>
  <c r="AR14"/>
  <c r="AG133"/>
  <c r="X133"/>
  <c r="AH133"/>
  <c r="AK133"/>
  <c r="I381" i="1"/>
  <c r="I380" s="1"/>
  <c r="AC13"/>
  <c r="K381"/>
  <c r="K380" s="1"/>
  <c r="L381"/>
  <c r="L380" s="1"/>
  <c r="J381"/>
  <c r="J380" s="1"/>
  <c r="M381"/>
  <c r="J359"/>
  <c r="L359"/>
  <c r="I322"/>
  <c r="K359"/>
  <c r="M333"/>
  <c r="K333"/>
  <c r="K332" s="1"/>
  <c r="K322"/>
  <c r="J322"/>
  <c r="J302"/>
  <c r="J301" s="1"/>
  <c r="J297" s="1"/>
  <c r="L322"/>
  <c r="I223"/>
  <c r="I215" s="1"/>
  <c r="L333"/>
  <c r="L332" s="1"/>
  <c r="J333"/>
  <c r="J332" s="1"/>
  <c r="J316"/>
  <c r="L316"/>
  <c r="K316"/>
  <c r="K297"/>
  <c r="M203"/>
  <c r="K276"/>
  <c r="L297"/>
  <c r="M223"/>
  <c r="K223"/>
  <c r="K215" s="1"/>
  <c r="L276"/>
  <c r="J276"/>
  <c r="L223"/>
  <c r="L215" s="1"/>
  <c r="K269"/>
  <c r="J269"/>
  <c r="L269"/>
  <c r="J224"/>
  <c r="J223" s="1"/>
  <c r="J215" s="1"/>
  <c r="K257"/>
  <c r="L257"/>
  <c r="J257"/>
  <c r="L203"/>
  <c r="L196" s="1"/>
  <c r="I203"/>
  <c r="I196" s="1"/>
  <c r="J203"/>
  <c r="J196" s="1"/>
  <c r="K203"/>
  <c r="K196" s="1"/>
  <c r="K155"/>
  <c r="J155"/>
  <c r="L155"/>
  <c r="I155"/>
  <c r="L172"/>
  <c r="K172"/>
  <c r="J172"/>
  <c r="L149"/>
  <c r="L148" s="1"/>
  <c r="I149"/>
  <c r="I148" s="1"/>
  <c r="J149"/>
  <c r="J148" s="1"/>
  <c r="M149"/>
  <c r="K149"/>
  <c r="K148" s="1"/>
  <c r="L111"/>
  <c r="L108" s="1"/>
  <c r="I111"/>
  <c r="I108" s="1"/>
  <c r="K111"/>
  <c r="K108" s="1"/>
  <c r="I73"/>
  <c r="I70" s="1"/>
  <c r="I20"/>
  <c r="I14" s="1"/>
  <c r="I297"/>
  <c r="I269"/>
  <c r="I359"/>
  <c r="I333"/>
  <c r="I332" s="1"/>
  <c r="I316"/>
  <c r="I257"/>
  <c r="I172"/>
  <c r="I276"/>
  <c r="AL17" i="3"/>
  <c r="AL16" s="1"/>
  <c r="AL15" s="1"/>
  <c r="V17"/>
  <c r="V16" s="1"/>
  <c r="V15" s="1"/>
  <c r="O17"/>
  <c r="O16" s="1"/>
  <c r="O15" s="1"/>
  <c r="G25"/>
  <c r="AM17"/>
  <c r="AM16" s="1"/>
  <c r="AM15" s="1"/>
  <c r="L18"/>
  <c r="AK17"/>
  <c r="AK16" s="1"/>
  <c r="AK15" s="1"/>
  <c r="M21"/>
  <c r="M20" s="1"/>
  <c r="M17" s="1"/>
  <c r="M16" s="1"/>
  <c r="M15" s="1"/>
  <c r="X17"/>
  <c r="X16" s="1"/>
  <c r="X15" s="1"/>
  <c r="L21"/>
  <c r="L20" s="1"/>
  <c r="AP17"/>
  <c r="AP16" s="1"/>
  <c r="AP15" s="1"/>
  <c r="W17"/>
  <c r="W16" s="1"/>
  <c r="W15" s="1"/>
  <c r="AS17"/>
  <c r="AS16" s="1"/>
  <c r="AS15" s="1"/>
  <c r="AR17"/>
  <c r="AR16" s="1"/>
  <c r="AR15" s="1"/>
  <c r="AQ17"/>
  <c r="AQ16" s="1"/>
  <c r="AQ15" s="1"/>
  <c r="AO17"/>
  <c r="AN17"/>
  <c r="AN16" s="1"/>
  <c r="AN15" s="1"/>
  <c r="AJ17"/>
  <c r="AJ16" s="1"/>
  <c r="AJ15" s="1"/>
  <c r="S17"/>
  <c r="S16" s="1"/>
  <c r="S15" s="1"/>
  <c r="AF17"/>
  <c r="AF16" s="1"/>
  <c r="AF15" s="1"/>
  <c r="AI17"/>
  <c r="AI16" s="1"/>
  <c r="AI15" s="1"/>
  <c r="R17"/>
  <c r="R16" s="1"/>
  <c r="AC17"/>
  <c r="AC16" s="1"/>
  <c r="AC15" s="1"/>
  <c r="AH17"/>
  <c r="AH16" s="1"/>
  <c r="AH15" s="1"/>
  <c r="AB17"/>
  <c r="AB16" s="1"/>
  <c r="AB15" s="1"/>
  <c r="AG17"/>
  <c r="AG16" s="1"/>
  <c r="AG15" s="1"/>
  <c r="N17"/>
  <c r="N16" s="1"/>
  <c r="N15" s="1"/>
  <c r="Y17"/>
  <c r="Y16" s="1"/>
  <c r="Y15" s="1"/>
  <c r="AE17"/>
  <c r="AE16" s="1"/>
  <c r="AE15" s="1"/>
  <c r="T17"/>
  <c r="T16" s="1"/>
  <c r="T15" s="1"/>
  <c r="AD17"/>
  <c r="AD16" s="1"/>
  <c r="AD15" s="1"/>
  <c r="K17"/>
  <c r="K16" s="1"/>
  <c r="K15" s="1"/>
  <c r="Q17"/>
  <c r="Q16" s="1"/>
  <c r="Q15" s="1"/>
  <c r="AA17"/>
  <c r="AA16" s="1"/>
  <c r="AA15" s="1"/>
  <c r="J17"/>
  <c r="J16" s="1"/>
  <c r="J15" s="1"/>
  <c r="P17"/>
  <c r="P16" s="1"/>
  <c r="P15" s="1"/>
  <c r="Z17"/>
  <c r="Z16" s="1"/>
  <c r="Z15" s="1"/>
  <c r="I17"/>
  <c r="I16" s="1"/>
  <c r="I15" s="1"/>
  <c r="H17"/>
  <c r="G17"/>
  <c r="T119" i="6"/>
  <c r="Q133"/>
  <c r="AF119"/>
  <c r="AF133"/>
  <c r="O133"/>
  <c r="N133"/>
  <c r="J133"/>
  <c r="Z133"/>
  <c r="L133"/>
  <c r="AL133"/>
  <c r="AC99"/>
  <c r="AC85" s="1"/>
  <c r="W134"/>
  <c r="W133" s="1"/>
  <c r="AJ133"/>
  <c r="T133"/>
  <c r="R142"/>
  <c r="W143"/>
  <c r="AJ119"/>
  <c r="AB142"/>
  <c r="AM119"/>
  <c r="Z119"/>
  <c r="AL119"/>
  <c r="K119"/>
  <c r="AK99"/>
  <c r="AK85" s="1"/>
  <c r="X99"/>
  <c r="X85" s="1"/>
  <c r="AI119"/>
  <c r="R129"/>
  <c r="R128" s="1"/>
  <c r="AB129"/>
  <c r="AB128" s="1"/>
  <c r="R135"/>
  <c r="R134"/>
  <c r="R133" s="1"/>
  <c r="W135"/>
  <c r="AC134"/>
  <c r="AC133" s="1"/>
  <c r="R122"/>
  <c r="R119" s="1"/>
  <c r="Y119"/>
  <c r="N119"/>
  <c r="W123"/>
  <c r="AB135"/>
  <c r="S48"/>
  <c r="S45" s="1"/>
  <c r="L119"/>
  <c r="AC135"/>
  <c r="AB64"/>
  <c r="AB63" s="1"/>
  <c r="AB62" s="1"/>
  <c r="AB134"/>
  <c r="AB133" s="1"/>
  <c r="W119"/>
  <c r="AD119"/>
  <c r="AB122"/>
  <c r="AB119" s="1"/>
  <c r="AC119"/>
  <c r="Q119"/>
  <c r="X119"/>
  <c r="Q99"/>
  <c r="Q85" s="1"/>
  <c r="AC68"/>
  <c r="AG119"/>
  <c r="U119"/>
  <c r="AE119"/>
  <c r="S119"/>
  <c r="AN119"/>
  <c r="P119"/>
  <c r="AH119"/>
  <c r="V119"/>
  <c r="J119"/>
  <c r="L99"/>
  <c r="L85" s="1"/>
  <c r="AB110"/>
  <c r="AF48"/>
  <c r="AF45" s="1"/>
  <c r="AK68"/>
  <c r="P38"/>
  <c r="M48"/>
  <c r="M45" s="1"/>
  <c r="R100"/>
  <c r="Y48"/>
  <c r="Y45" s="1"/>
  <c r="J99"/>
  <c r="J85" s="1"/>
  <c r="AB86"/>
  <c r="Q68"/>
  <c r="R110"/>
  <c r="W86"/>
  <c r="W110"/>
  <c r="W100"/>
  <c r="S68"/>
  <c r="R64"/>
  <c r="R63" s="1"/>
  <c r="R62" s="1"/>
  <c r="AB100"/>
  <c r="R86"/>
  <c r="Y99"/>
  <c r="Y85" s="1"/>
  <c r="V99"/>
  <c r="V85" s="1"/>
  <c r="AI99"/>
  <c r="AI85" s="1"/>
  <c r="U99"/>
  <c r="U85" s="1"/>
  <c r="K86"/>
  <c r="M99"/>
  <c r="R69"/>
  <c r="R68" s="1"/>
  <c r="AB25"/>
  <c r="W69"/>
  <c r="W68" s="1"/>
  <c r="P99"/>
  <c r="P85" s="1"/>
  <c r="AB69"/>
  <c r="AB68" s="1"/>
  <c r="N38"/>
  <c r="AF68"/>
  <c r="R82"/>
  <c r="R81" s="1"/>
  <c r="AD68"/>
  <c r="AD99"/>
  <c r="AD85" s="1"/>
  <c r="W83"/>
  <c r="Z99"/>
  <c r="Z85" s="1"/>
  <c r="N99"/>
  <c r="N85" s="1"/>
  <c r="AK48"/>
  <c r="AK45" s="1"/>
  <c r="P48"/>
  <c r="P45" s="1"/>
  <c r="Z68"/>
  <c r="O48"/>
  <c r="O45" s="1"/>
  <c r="AL68"/>
  <c r="K99"/>
  <c r="AD38"/>
  <c r="T48"/>
  <c r="T45" s="1"/>
  <c r="R51"/>
  <c r="R48" s="1"/>
  <c r="R45" s="1"/>
  <c r="AN99"/>
  <c r="AN85" s="1"/>
  <c r="AL99"/>
  <c r="AL85" s="1"/>
  <c r="AJ99"/>
  <c r="AJ85" s="1"/>
  <c r="AH99"/>
  <c r="AH85" s="1"/>
  <c r="AM99"/>
  <c r="AM85" s="1"/>
  <c r="AA99"/>
  <c r="AA85" s="1"/>
  <c r="O99"/>
  <c r="O85" s="1"/>
  <c r="AG99"/>
  <c r="AG85" s="1"/>
  <c r="AF99"/>
  <c r="AF85" s="1"/>
  <c r="T99"/>
  <c r="T85" s="1"/>
  <c r="AE99"/>
  <c r="S99"/>
  <c r="S85" s="1"/>
  <c r="N48"/>
  <c r="N45" s="1"/>
  <c r="Z48"/>
  <c r="Z45" s="1"/>
  <c r="AN68"/>
  <c r="P68"/>
  <c r="AB82"/>
  <c r="AB81" s="1"/>
  <c r="W51"/>
  <c r="W48" s="1"/>
  <c r="W45" s="1"/>
  <c r="AE48"/>
  <c r="AM68"/>
  <c r="AA68"/>
  <c r="AB35"/>
  <c r="AB34" s="1"/>
  <c r="AB33" s="1"/>
  <c r="AB51"/>
  <c r="AB48" s="1"/>
  <c r="AB45" s="1"/>
  <c r="AD48"/>
  <c r="AD45" s="1"/>
  <c r="N68"/>
  <c r="W64"/>
  <c r="W63" s="1"/>
  <c r="W62" s="1"/>
  <c r="AA48"/>
  <c r="AA45" s="1"/>
  <c r="U48"/>
  <c r="U45" s="1"/>
  <c r="AI68"/>
  <c r="R39"/>
  <c r="R38" s="1"/>
  <c r="AG48"/>
  <c r="AG45" s="1"/>
  <c r="AH68"/>
  <c r="O68"/>
  <c r="AJ68"/>
  <c r="AG68"/>
  <c r="AN16"/>
  <c r="AC48"/>
  <c r="AC45" s="1"/>
  <c r="Q48"/>
  <c r="Q45" s="1"/>
  <c r="W56"/>
  <c r="R55"/>
  <c r="R54" s="1"/>
  <c r="Y68"/>
  <c r="M68"/>
  <c r="J56"/>
  <c r="W60"/>
  <c r="R59"/>
  <c r="R58" s="1"/>
  <c r="X68"/>
  <c r="L68"/>
  <c r="AB55"/>
  <c r="AB54" s="1"/>
  <c r="K68"/>
  <c r="AB59"/>
  <c r="AB58" s="1"/>
  <c r="V68"/>
  <c r="J68"/>
  <c r="X48"/>
  <c r="X45" s="1"/>
  <c r="L48"/>
  <c r="L45" s="1"/>
  <c r="U68"/>
  <c r="K48"/>
  <c r="K45" s="1"/>
  <c r="T68"/>
  <c r="Z38"/>
  <c r="AL48"/>
  <c r="AL45" s="1"/>
  <c r="AH48"/>
  <c r="AH45" s="1"/>
  <c r="V48"/>
  <c r="V45" s="1"/>
  <c r="J48"/>
  <c r="J45" s="1"/>
  <c r="AJ48"/>
  <c r="AJ45" s="1"/>
  <c r="AM48"/>
  <c r="AM45" s="1"/>
  <c r="AI48"/>
  <c r="AI45" s="1"/>
  <c r="AN48"/>
  <c r="AN45" s="1"/>
  <c r="AF38"/>
  <c r="AN38"/>
  <c r="AC25"/>
  <c r="Y38"/>
  <c r="AK25"/>
  <c r="AJ25"/>
  <c r="T38"/>
  <c r="AG42"/>
  <c r="AG38" s="1"/>
  <c r="AG25"/>
  <c r="I25"/>
  <c r="AD25"/>
  <c r="W39"/>
  <c r="W38" s="1"/>
  <c r="O25"/>
  <c r="W25"/>
  <c r="AB39"/>
  <c r="AL38"/>
  <c r="AK38"/>
  <c r="J38"/>
  <c r="AE25"/>
  <c r="AH38"/>
  <c r="S25"/>
  <c r="AM25"/>
  <c r="AA25"/>
  <c r="P25"/>
  <c r="Y25"/>
  <c r="V38"/>
  <c r="X25"/>
  <c r="AI25"/>
  <c r="V25"/>
  <c r="AN25"/>
  <c r="R43"/>
  <c r="U25"/>
  <c r="U38"/>
  <c r="T25"/>
  <c r="AE38"/>
  <c r="S38"/>
  <c r="AF25"/>
  <c r="W43"/>
  <c r="R25"/>
  <c r="Q25"/>
  <c r="AC38"/>
  <c r="Q38"/>
  <c r="AB42"/>
  <c r="AH25"/>
  <c r="AM38"/>
  <c r="AA38"/>
  <c r="O38"/>
  <c r="M38"/>
  <c r="R35"/>
  <c r="R34" s="1"/>
  <c r="R33" s="1"/>
  <c r="AL25"/>
  <c r="Z25"/>
  <c r="L25"/>
  <c r="M25"/>
  <c r="AJ38"/>
  <c r="X38"/>
  <c r="L38"/>
  <c r="W35"/>
  <c r="W34" s="1"/>
  <c r="W33" s="1"/>
  <c r="K25"/>
  <c r="N25"/>
  <c r="AI38"/>
  <c r="K38"/>
  <c r="J25"/>
  <c r="AM16"/>
  <c r="K16"/>
  <c r="P16"/>
  <c r="I119"/>
  <c r="Q16"/>
  <c r="S16"/>
  <c r="AE16"/>
  <c r="AC16"/>
  <c r="N16"/>
  <c r="AA16"/>
  <c r="AJ16"/>
  <c r="J16"/>
  <c r="AG19"/>
  <c r="AG16" s="1"/>
  <c r="AH16"/>
  <c r="O16"/>
  <c r="AA137"/>
  <c r="L16"/>
  <c r="Z16"/>
  <c r="X16"/>
  <c r="I99"/>
  <c r="I85" s="1"/>
  <c r="V16"/>
  <c r="W20"/>
  <c r="R19"/>
  <c r="R16" s="1"/>
  <c r="AF16"/>
  <c r="T16"/>
  <c r="AB19"/>
  <c r="AB16" s="1"/>
  <c r="AL16"/>
  <c r="W16"/>
  <c r="AI16"/>
  <c r="AD16"/>
  <c r="AK16"/>
  <c r="Y16"/>
  <c r="M16"/>
  <c r="U16"/>
  <c r="I16"/>
  <c r="I38"/>
  <c r="I48"/>
  <c r="I45" s="1"/>
  <c r="I68"/>
  <c r="AE68" l="1"/>
  <c r="AO38"/>
  <c r="AP38" s="1"/>
  <c r="M85"/>
  <c r="AP22"/>
  <c r="AO25"/>
  <c r="AP25" s="1"/>
  <c r="AO119"/>
  <c r="AP119" s="1"/>
  <c r="AO133"/>
  <c r="AP133" s="1"/>
  <c r="M33"/>
  <c r="AO68"/>
  <c r="AP68" s="1"/>
  <c r="AO16"/>
  <c r="AP16" s="1"/>
  <c r="P62"/>
  <c r="AO62" s="1"/>
  <c r="AP62" s="1"/>
  <c r="AO63"/>
  <c r="AP63" s="1"/>
  <c r="P149"/>
  <c r="AO149" s="1"/>
  <c r="AP149" s="1"/>
  <c r="AO150"/>
  <c r="AP150" s="1"/>
  <c r="P33"/>
  <c r="AO33" s="1"/>
  <c r="AO34"/>
  <c r="AP34" s="1"/>
  <c r="AP28"/>
  <c r="AP86"/>
  <c r="N277" i="1"/>
  <c r="N276" s="1"/>
  <c r="N195" s="1"/>
  <c r="N69" s="1"/>
  <c r="N59" s="1"/>
  <c r="N46" s="1"/>
  <c r="N13" s="1"/>
  <c r="M155"/>
  <c r="M276"/>
  <c r="M269"/>
  <c r="M257"/>
  <c r="M297"/>
  <c r="M359"/>
  <c r="I331"/>
  <c r="L331"/>
  <c r="J331"/>
  <c r="K331"/>
  <c r="AO29" i="3"/>
  <c r="AO16" s="1"/>
  <c r="AO15" s="1"/>
  <c r="AE85" i="6"/>
  <c r="AO85" s="1"/>
  <c r="AO99"/>
  <c r="AP99" s="1"/>
  <c r="AE45"/>
  <c r="AO45" s="1"/>
  <c r="AP45" s="1"/>
  <c r="AO48"/>
  <c r="AP48" s="1"/>
  <c r="M264" i="1"/>
  <c r="M185"/>
  <c r="M86"/>
  <c r="M180"/>
  <c r="M252"/>
  <c r="M215"/>
  <c r="R15" i="3"/>
  <c r="L17"/>
  <c r="L16" s="1"/>
  <c r="L15" s="1"/>
  <c r="AK67" i="6"/>
  <c r="AK15" s="1"/>
  <c r="AK14" s="1"/>
  <c r="AK13" s="1"/>
  <c r="AC67"/>
  <c r="AC15" s="1"/>
  <c r="AC14" s="1"/>
  <c r="AC13" s="1"/>
  <c r="M196" i="1"/>
  <c r="M380"/>
  <c r="M148"/>
  <c r="M108"/>
  <c r="M332"/>
  <c r="J195"/>
  <c r="J69" s="1"/>
  <c r="J59" s="1"/>
  <c r="J46" s="1"/>
  <c r="L195"/>
  <c r="L69" s="1"/>
  <c r="L59" s="1"/>
  <c r="L46" s="1"/>
  <c r="K195"/>
  <c r="K69" s="1"/>
  <c r="K59" s="1"/>
  <c r="K46" s="1"/>
  <c r="I195"/>
  <c r="I69" s="1"/>
  <c r="I59" s="1"/>
  <c r="G24" i="3"/>
  <c r="G23" s="1"/>
  <c r="G16" s="1"/>
  <c r="G15" s="1"/>
  <c r="H16"/>
  <c r="H15" s="1"/>
  <c r="Q67" i="6"/>
  <c r="Q15" s="1"/>
  <c r="Q14" s="1"/>
  <c r="Q13" s="1"/>
  <c r="AB99"/>
  <c r="AB85" s="1"/>
  <c r="AB67" s="1"/>
  <c r="W99"/>
  <c r="W85" s="1"/>
  <c r="W67" s="1"/>
  <c r="AA135"/>
  <c r="AA134"/>
  <c r="AA133" s="1"/>
  <c r="Z67"/>
  <c r="Z15" s="1"/>
  <c r="Z14" s="1"/>
  <c r="Z13" s="1"/>
  <c r="K85"/>
  <c r="K67" s="1"/>
  <c r="R99"/>
  <c r="R85" s="1"/>
  <c r="AH67"/>
  <c r="AH15" s="1"/>
  <c r="AH14" s="1"/>
  <c r="AH13" s="1"/>
  <c r="P67"/>
  <c r="P15" s="1"/>
  <c r="P14" s="1"/>
  <c r="P13" s="1"/>
  <c r="AL67"/>
  <c r="AL15" s="1"/>
  <c r="AL14" s="1"/>
  <c r="AL13" s="1"/>
  <c r="AN67"/>
  <c r="AN15" s="1"/>
  <c r="AN14" s="1"/>
  <c r="AN13" s="1"/>
  <c r="S67"/>
  <c r="S15" s="1"/>
  <c r="S14" s="1"/>
  <c r="S13" s="1"/>
  <c r="AI67"/>
  <c r="AI15" s="1"/>
  <c r="AI14" s="1"/>
  <c r="AI13" s="1"/>
  <c r="AF67"/>
  <c r="AF15" s="1"/>
  <c r="AF14" s="1"/>
  <c r="AF13" s="1"/>
  <c r="AM67"/>
  <c r="AM15" s="1"/>
  <c r="AM14" s="1"/>
  <c r="AM13" s="1"/>
  <c r="AG67"/>
  <c r="AG15" s="1"/>
  <c r="AG14" s="1"/>
  <c r="AG13" s="1"/>
  <c r="AJ67"/>
  <c r="AJ15" s="1"/>
  <c r="AJ14" s="1"/>
  <c r="AJ13" s="1"/>
  <c r="AA67"/>
  <c r="AD67"/>
  <c r="AD15" s="1"/>
  <c r="N67"/>
  <c r="N15" s="1"/>
  <c r="N14" s="1"/>
  <c r="N13" s="1"/>
  <c r="O67"/>
  <c r="O15" s="1"/>
  <c r="O14" s="1"/>
  <c r="O13" s="1"/>
  <c r="T67"/>
  <c r="T15" s="1"/>
  <c r="X67"/>
  <c r="U67"/>
  <c r="U15" s="1"/>
  <c r="U14" s="1"/>
  <c r="U13" s="1"/>
  <c r="M67"/>
  <c r="M15" s="1"/>
  <c r="M14" s="1"/>
  <c r="J67"/>
  <c r="J15" s="1"/>
  <c r="J14" s="1"/>
  <c r="J13" s="1"/>
  <c r="Y67"/>
  <c r="Y15" s="1"/>
  <c r="Y14" s="1"/>
  <c r="Y13" s="1"/>
  <c r="V67"/>
  <c r="V15" s="1"/>
  <c r="V14" s="1"/>
  <c r="V13" s="1"/>
  <c r="L67"/>
  <c r="L15" s="1"/>
  <c r="AB38"/>
  <c r="I67"/>
  <c r="I15" s="1"/>
  <c r="I14" s="1"/>
  <c r="I13" s="1"/>
  <c r="AP85" l="1"/>
  <c r="AE67"/>
  <c r="AE15" s="1"/>
  <c r="AP33"/>
  <c r="M331" i="1"/>
  <c r="M195"/>
  <c r="M69" s="1"/>
  <c r="M59" s="1"/>
  <c r="M46" s="1"/>
  <c r="M13" i="6"/>
  <c r="AW62"/>
  <c r="AW68"/>
  <c r="AW85"/>
  <c r="AW25"/>
  <c r="Q13" i="1"/>
  <c r="K13"/>
  <c r="R13"/>
  <c r="I46"/>
  <c r="I13" s="1"/>
  <c r="J13"/>
  <c r="L13"/>
  <c r="AA15" i="6"/>
  <c r="AA14" s="1"/>
  <c r="AA13" s="1"/>
  <c r="R67"/>
  <c r="R15" s="1"/>
  <c r="R14" s="1"/>
  <c r="R13" s="1"/>
  <c r="W15"/>
  <c r="W14" s="1"/>
  <c r="W13" s="1"/>
  <c r="AB15"/>
  <c r="AB14" s="1"/>
  <c r="AB13" s="1"/>
  <c r="T14"/>
  <c r="T13" s="1"/>
  <c r="X15"/>
  <c r="X14" s="1"/>
  <c r="X13" s="1"/>
  <c r="AD14"/>
  <c r="AD13" s="1"/>
  <c r="L14"/>
  <c r="L13" s="1"/>
  <c r="K15"/>
  <c r="K14" s="1"/>
  <c r="K13" s="1"/>
  <c r="AO67" l="1"/>
  <c r="AP67" s="1"/>
  <c r="AE14"/>
  <c r="AO15"/>
  <c r="AP15" s="1"/>
  <c r="S13" i="1"/>
  <c r="AC215" l="1"/>
  <c r="AC108"/>
  <c r="AC196"/>
  <c r="AE13" i="6"/>
  <c r="AO13" s="1"/>
  <c r="AP13" s="1"/>
  <c r="AO14"/>
  <c r="AP14" s="1"/>
  <c r="O13" i="1"/>
  <c r="P13" l="1"/>
  <c r="AF60" l="1"/>
  <c r="T13" l="1"/>
  <c r="U13"/>
  <c r="X13" s="1"/>
  <c r="M13"/>
  <c r="AF61"/>
</calcChain>
</file>

<file path=xl/sharedStrings.xml><?xml version="1.0" encoding="utf-8"?>
<sst xmlns="http://schemas.openxmlformats.org/spreadsheetml/2006/main" count="4879" uniqueCount="2016">
  <si>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</si>
  <si>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</si>
  <si>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</si>
  <si>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</si>
  <si>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</si>
  <si>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</si>
  <si>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</si>
  <si>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</si>
  <si>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</si>
  <si>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</si>
  <si>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</si>
  <si>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</si>
  <si>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</si>
  <si>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</si>
  <si>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</si>
  <si>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</si>
  <si>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</si>
  <si>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</si>
  <si>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</si>
  <si>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</si>
  <si>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</si>
  <si>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</si>
  <si>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Tổng số</t>
  </si>
  <si>
    <t>Trong đó</t>
  </si>
  <si>
    <t>Trong đó:</t>
  </si>
  <si>
    <t xml:space="preserve">Thu hồi các khoản ứng trước </t>
  </si>
  <si>
    <t>Thanh toán nợ XDCB</t>
  </si>
  <si>
    <t>18=19+20</t>
  </si>
  <si>
    <t>23=24+25</t>
  </si>
  <si>
    <t>Biếu số 1</t>
  </si>
  <si>
    <t>Đơn vị tính: Triệu đồng</t>
  </si>
  <si>
    <t>Trong đó: KH vốn 2021 được kéo dài sang năm 2022</t>
  </si>
  <si>
    <t>Trong đó: KH vốn 2022 được kéo dài sang năm 2023</t>
  </si>
  <si>
    <t>I</t>
  </si>
  <si>
    <t>II</t>
  </si>
  <si>
    <t>Dự án chuyển tiếp từ giai đoạn 2016-2020 sang giai đoạn 2021-2025</t>
  </si>
  <si>
    <t>Dự án khởi công mới trong giai đoạn 2021-2025</t>
  </si>
  <si>
    <t>A</t>
  </si>
  <si>
    <t>B</t>
  </si>
  <si>
    <t>C</t>
  </si>
  <si>
    <t>Biếu số 2</t>
  </si>
  <si>
    <t>Trong đó: vốn NSTW</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</si>
  <si>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</si>
  <si>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</si>
  <si>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</si>
  <si>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</si>
  <si>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</si>
  <si>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</si>
  <si>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</si>
  <si>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</si>
  <si>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Vốn nước ngoài (tính theo tiền Việt)  đưa vào cân đối NSTW</t>
  </si>
  <si>
    <t>Tính bằng nguyên tệ</t>
  </si>
  <si>
    <t>Quy đổi ra tiền Việt</t>
  </si>
  <si>
    <t>Trong đó: Thu hồi các khoản vốn ứng trước NSTW</t>
  </si>
  <si>
    <t>Vay lại</t>
  </si>
  <si>
    <t>NSTW</t>
  </si>
  <si>
    <t>NSĐP</t>
  </si>
  <si>
    <t>Đưa vào cân đối NSTW</t>
  </si>
  <si>
    <r>
      <t xml:space="preserve">Tổng số (tất cả các nguồn vốn) </t>
    </r>
    <r>
      <rPr>
        <vertAlign val="superscript"/>
        <sz val="11"/>
        <rFont val="Times New Roman"/>
        <family val="1"/>
      </rPr>
      <t>(2)</t>
    </r>
  </si>
  <si>
    <r>
      <t>Vốn nước ngoài (theo Hiệp định)</t>
    </r>
    <r>
      <rPr>
        <vertAlign val="superscript"/>
        <sz val="11"/>
        <rFont val="Times New Roman"/>
        <family val="1"/>
      </rPr>
      <t>(2)</t>
    </r>
  </si>
  <si>
    <r>
      <t xml:space="preserve">Tổng số </t>
    </r>
    <r>
      <rPr>
        <vertAlign val="superscript"/>
        <sz val="11"/>
        <rFont val="Times New Roman"/>
        <family val="1"/>
      </rPr>
      <t>(2)</t>
    </r>
  </si>
  <si>
    <t>Vốn nước ngoài</t>
  </si>
  <si>
    <t>KH vốn nước ngoài</t>
  </si>
  <si>
    <t>Biếu số 3</t>
  </si>
  <si>
    <t>Biếu số 4</t>
  </si>
  <si>
    <t>Chương trình mục tiêu quốc gia phát triển kinh tế - xã hội vùng đồng bào dân tộc thiểu số và miền núi</t>
  </si>
  <si>
    <t>III</t>
  </si>
  <si>
    <t>Nguồn vốn đầu tư</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</si>
  <si>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</si>
  <si>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</si>
  <si>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</si>
  <si>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</si>
  <si>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</si>
  <si>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</si>
  <si>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</si>
  <si>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</si>
  <si>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</si>
  <si>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</si>
  <si>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</si>
  <si>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Số dự án</t>
  </si>
  <si>
    <t>Chi tiết thực hiện các năm</t>
  </si>
  <si>
    <t>Ước giải ngân</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</si>
  <si>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</si>
  <si>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</si>
  <si>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</si>
  <si>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</si>
  <si>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</si>
  <si>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</si>
  <si>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</si>
  <si>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</si>
  <si>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</si>
  <si>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</si>
  <si>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</si>
  <si>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</si>
  <si>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</si>
  <si>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</si>
  <si>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</si>
  <si>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</si>
  <si>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</si>
  <si>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chuẩn bị đầu tư cho giai đoạn 2026-2030</t>
  </si>
  <si>
    <t>CHI TIẾT TÌNH HÌNH THỰC HIỆN KẾ HOẠCH ĐẦU TƯ CÔNG TRUNG HẠN VỐN NGÂN SÁCH TRUNG ƯƠNG GIAI ĐOẠN 2021-2025</t>
  </si>
  <si>
    <t>CHI TIẾT TÌNH HÌNH THỰC HIỆN KẾ HOẠCH ĐẦU TƯ CÔNG TRUNG HẠN VỐN NGÂN SÁCH TRUNG ƯƠNG (VỐN NƯỚC NGOÀI) GIAI ĐOẠN 2021-2025</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</si>
  <si>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</si>
  <si>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</si>
  <si>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</si>
  <si>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</si>
  <si>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</si>
  <si>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Ước Giải ngân</t>
  </si>
  <si>
    <t>Dự kiến KH vốn nước ngoài</t>
  </si>
  <si>
    <t>III.1</t>
  </si>
  <si>
    <t>III.2</t>
  </si>
  <si>
    <t>Loại dự án</t>
  </si>
  <si>
    <t>KCM va HT 21-25</t>
  </si>
  <si>
    <t>CT 16-20</t>
  </si>
  <si>
    <t>KCM21-25 nhưng HT sau 25</t>
  </si>
  <si>
    <t>CBDT 26-30</t>
  </si>
  <si>
    <t>VỐN NSTW TRONG NƯỚC</t>
  </si>
  <si>
    <t>A.1</t>
  </si>
  <si>
    <t>Số vốn đã được TTgCP giao chi tiết KH trung hạn</t>
  </si>
  <si>
    <t>NGÀNH/ LĨNH VỰC: QUỐC PHÒNG</t>
  </si>
  <si>
    <t>(1)</t>
  </si>
  <si>
    <t>Đường Na Phay - Huổi Chanh -Bản Gia Phú A,B xã Mường Nhà (đường ra biên giới)</t>
  </si>
  <si>
    <t>(2)</t>
  </si>
  <si>
    <t>Dự án hoàn thành và bàn giao đưa vào sử dụng giai đoạn 2021-2025</t>
  </si>
  <si>
    <t>Đường ra biên giới Mường Nhà - Pha Lay - Mốc 130 kết hợp Kè bảo vệ chân Mốc 130, huyện Điện Biên</t>
  </si>
  <si>
    <t>NGÀNH/ LĨNH VỰC: GIÁO DỤC ĐT VÀ GIÁO DỤC NGHỀ NGHIỆP</t>
  </si>
  <si>
    <t>Trường phổ thông DTNT THPT huyện Nậm Pồ</t>
  </si>
  <si>
    <t>Trường Trung học cơ sở thị trấn Tuần Giáo, tỉnh Điện Biên</t>
  </si>
  <si>
    <t>NGÀNH/ LĨNH VỰC: KHOA HỌC CÔNG NGHỆ</t>
  </si>
  <si>
    <t>Dự án xây dựng nền tảng công nghệ thành phố thông minh tỉnh Điện Biên</t>
  </si>
  <si>
    <t>Xây dựng các cơ sở dữ liệu dùng chung tỉnh Điện Biên</t>
  </si>
  <si>
    <t>IV</t>
  </si>
  <si>
    <t>NGÀNH/ LĨNH VỰC: Y TẾ, DÂN SỐ VÀ GIA ĐÌNH</t>
  </si>
  <si>
    <t>Giai đoạn II - Cải tạo nâng cấp BVĐK tỉnh giai đoạn II (từ 300 lên 500 GB)</t>
  </si>
  <si>
    <t xml:space="preserve">Bệnh viện đa khoa huyện Nậm Pồ - Giai đoạn II </t>
  </si>
  <si>
    <t>Xây nhà phục vụ các khoa chuyên môn và TTB của Trung tâm Kiểm soát bệnh tật tỉnh</t>
  </si>
  <si>
    <t>V</t>
  </si>
  <si>
    <t>NGÀNH/ LĨNH VỰC: VĂN HÓA, THÔNG TIN</t>
  </si>
  <si>
    <t>Dự án Bảo tàng chiến thắng Điện Biên Phủ - Giai đoạn II</t>
  </si>
  <si>
    <t>Bảo tồn tôn tạo khu trung tâm đề kháng Him Lam</t>
  </si>
  <si>
    <t>Bảo tàng tỉnh Điện Biên</t>
  </si>
  <si>
    <t>Khoanh vùng bảo vệ, cắm mốc, giải phóng mặt bằng, cấp Giấy chứng nhận quyền sử dụng đất các điểm di tích thuộc Di tích Chiến trường Điện Biên Phủ</t>
  </si>
  <si>
    <t>VI</t>
  </si>
  <si>
    <t>NGÀNH/ LĨNH VỰC: PHÁT THANH, TRUYỀN HÌNH, THÔNG TẤN</t>
  </si>
  <si>
    <t>1</t>
  </si>
  <si>
    <t>Xây dựng trụ sở làm việc kết hợp trung tâm kỹ thuật sản xuất chương trình phát thanh truyền hình</t>
  </si>
  <si>
    <t>VII</t>
  </si>
  <si>
    <t>NGÀNH/ LĨNH VỰC: THỂ DỤC THỂ THAO</t>
  </si>
  <si>
    <t>Các hạng mục thuộc dự án tổng thể đầu tư xây dựng trung tâm thể dục thể thao tỉnh Điện Biên</t>
  </si>
  <si>
    <t>VIII</t>
  </si>
  <si>
    <t>NGÀNH/ LĨNH VỰC: BẢO VỆ MÔI TRƯỜNG</t>
  </si>
  <si>
    <t>Quản lý đa thiên tai lưu vực sông Nậm Rốm nhằm bảo vệ dân sinh, thích ứng biến đổi khí hậu và phát triển kinh tế xã hôi, tỉnh Điện Biên</t>
  </si>
  <si>
    <t>Hồ chứa Huổi Trạng Tai, huyện Điện Biên</t>
  </si>
  <si>
    <t>IX</t>
  </si>
  <si>
    <t>NGÀNH/ LĨNH VỰC: CÁC HOẠT ĐỘNG KINH TẾ</t>
  </si>
  <si>
    <t>Nông, lâm, diêm nghiệp, thủy lợi và thủy sản</t>
  </si>
  <si>
    <t>Dự án Nâng cấp đường cứu hộ, cứu nạn Nà Hỳ - Nà Bủng, huyện Mường Nhé (nay là huyện Nậm Pồ), tỉnh Điện Biên</t>
  </si>
  <si>
    <t>Dự án sắp xếp ổn định dân cư biên giới Việt - Lào, bản Kêt Tinh, xã Mường Mươn, huyện Mường Chà</t>
  </si>
  <si>
    <t>Dự án sắp xếp, ổn định dân di cư tự do bản Huổi Cắn, xã Mường Toong, huyện Mường Nhé</t>
  </si>
  <si>
    <t>Dự án sắp xếp, bố trí ổn định dân cư vùng thiên tai bản Tin Tốc, xã Mường Lói, huyện Điện Biên, tỉnh Điện Biên</t>
  </si>
  <si>
    <t>Hỗ trợ đồng bào dân tộc miền núi theo QĐ 2085/QĐ-TTg</t>
  </si>
  <si>
    <t>Hỗ trợ đồng bào dân tộc miền núi theo QĐ 2086/QĐ-TTg</t>
  </si>
  <si>
    <t xml:space="preserve">Dự án Bảo vệ và phát triển rừng đến năm 2020 trên địa bàn các huyện, thị xã, thành phố, tỉnh Điện Biên </t>
  </si>
  <si>
    <t>Dự án đầu tư nâng cao năng lực phòng cháy, chữa cháy rừng tỉnh Điện Biên giai đoạn 2016-2020</t>
  </si>
  <si>
    <t>Dự án Bảo vệ và phát triển rừng bền vững tỉnh Điện Biên giai đoạn 2021-2025</t>
  </si>
  <si>
    <t>Công nghiệp</t>
  </si>
  <si>
    <t>Đầu tư xây dựng hạ tầng kỹ thuật Cụm công nghiệp hỗ hợp xã Ẳng Tở, huyện Mường Ảng, tỉnh Điện Biên</t>
  </si>
  <si>
    <t>Giao thông</t>
  </si>
  <si>
    <t>Đường Sư Lư - Chiềng Sơ - Luân Giới</t>
  </si>
  <si>
    <t>Đường Mường Lay - Nậm Nhùn</t>
  </si>
  <si>
    <t>Đường nội thị trục 27m và khu tái định cư thị trấn Mường Ảng GĐI, huyện Mường Ảng</t>
  </si>
  <si>
    <t>Nâng cấp, cải tạo đường Nà Nhạn - Mường Phăng</t>
  </si>
  <si>
    <t>Đường nội thị giai đoạn I Trục 42m huyện Mường Ảng</t>
  </si>
  <si>
    <t xml:space="preserve"> Đường Tây Trang-Bản Pa Thơm</t>
  </si>
  <si>
    <t>Dự án Đường Na Sang Km146+200/QL12) - TT. xã Huổi Mí - Nậm Mức (Km452+300/QL6) - Thị trấn Tủa Chùa - Huổi Lóng, tỉnh Điện Biên (Phân đoạn Thị trấn Tủa Chùa - Nậm Mức - Huổi Mí)</t>
  </si>
  <si>
    <t>Đường Quảng Lâm - Na Cô Sa</t>
  </si>
  <si>
    <t xml:space="preserve"> Đường Km45 (Na pheo- Si Pa Phìn) đi Nà Hỳ</t>
  </si>
  <si>
    <t>Đường Chà Nưa - Nậm Đích - mốc B4, huyện Mường Chà (nay là huyện Nậm Pồ)</t>
  </si>
  <si>
    <t>Đường Huổi Lèng - Ka Dí Nhè - Nậm Chua, huyện Mường Chà</t>
  </si>
  <si>
    <t>Đầu tư xây dựng công trình đường Quảng Lâm - Huổi Lụ - Pá Mỳ.</t>
  </si>
  <si>
    <t>Đường giao thông kết nối các khu vực kinh tế trọng điểm thuộc vùng kinh tế động lực dọc trục QL 279 và QL 12, tỉnh Điện Biên</t>
  </si>
  <si>
    <t>Cải tạo, nâng cấp ĐT.143 Noong Bua - Pú Nhi - Noong U - Na Son (Đoạn Nà Nghè - Pú Nhi - Noong U - Na Son)</t>
  </si>
  <si>
    <t>Đường Phì Nhừ - Phình Giàng - Pú Hồng - Mường Nhà tỉnh Điện Biên (Giai đoạn 2)</t>
  </si>
  <si>
    <t>Nâng cấp đường Đông Điện Biên (ĐT.147), huyện Điện Biên, tỉnh Điện Biên</t>
  </si>
  <si>
    <t>Nâng cấp tuyến đường Thị trấn - Sính Phình - Tả Phìn, huyện Tủa Chùa</t>
  </si>
  <si>
    <t>Đường Phình Sáng - Mường Giàng (Quỳnh Nhai), huyện Tuần Giáo</t>
  </si>
  <si>
    <t>Nâng cấp Đường vào Đồn Biên phòng Thanh Luông 423 đến Mốc 104, xã Thanh Luông, huyện Điện Biên</t>
  </si>
  <si>
    <t>Đường liên huyện Hua Ná - Pá Liếng (xã Ẳng Cang, H. Mường Ảng) đi Lọng Khẩu Cắm (xã Mường Phăng, H. Điện Biên).</t>
  </si>
  <si>
    <t>Nâng cấp đường dân sinh Hồng Sọt - Pá Sáng, huyện Mường Ảng</t>
  </si>
  <si>
    <t>Đường từ QL279 đi bản Mánh Đanh, xã Ẳng Cang, huyện Mường Ảng</t>
  </si>
  <si>
    <t>Nâng cấp đường QL6 – TT xã Rạng Đông - TT xã Phình Sáng – Phảng Củ, huyện Tuần Giáo.</t>
  </si>
  <si>
    <t>Nâng cấp đường giao thông từ bản Xôm đi bản mốc C5 xã Phu Luông, huyện Điện Biên</t>
  </si>
  <si>
    <t>Cấp thoát nước</t>
  </si>
  <si>
    <t>DA Nhà máy nước TT huyện Mường Ảng và TT huyện Nậm Pồ</t>
  </si>
  <si>
    <t>Công nghệ thông tin</t>
  </si>
  <si>
    <t>Xây dựng hạ tầng kỹ thuật chính quyền điện tử tỉnh Điện Biên</t>
  </si>
  <si>
    <t>Đầu tư xây dựng Hệ thống đảm bảo an toàn an ninh thông tin mạng cho hệ thống mạng của các Sở, ngành, địa phương trên địa bàn tỉnh</t>
  </si>
  <si>
    <t>Quy hoạch</t>
  </si>
  <si>
    <t>Lập Quy hoạch tỉnh Điện Biên thời kỳ 2021-2030 tầm nhìn đến năm 2050</t>
  </si>
  <si>
    <t>Công trình công cộng tại các đô thị</t>
  </si>
  <si>
    <t>San ủi mặt bằng, đường nội thị trung tâm huyện lỵ Nậm Pồ</t>
  </si>
  <si>
    <t>Chương trình đô thị miền núi phía Bắc - thành phố Điện Biên Phủ</t>
  </si>
  <si>
    <t>Cấp vốn điều lệ cho NHCS; hỗ trợ DN đầu tư vào NN nông thôn; hỗ trợ DNNVV; hỗ trợ HTX</t>
  </si>
  <si>
    <t>X</t>
  </si>
  <si>
    <t>NGÀNH/ LĨNH VỰC: HOẠT ĐỘNG CỦA CƠ QUAN QLNN</t>
  </si>
  <si>
    <t>Trụ sở làm việc Huyện ủy Nậm Pồ, huyện Nậm Pồ, tỉnh Điện Biên</t>
  </si>
  <si>
    <t>Nhà khách tỉnh Điện Biên</t>
  </si>
  <si>
    <t>Trụ sở làm việc HĐND - UBND huyện Nậm Pồ, tỉnh Điên Biên</t>
  </si>
  <si>
    <t>XII</t>
  </si>
  <si>
    <t>NGÀNH/ LĨNH VỰC: XÃ HỘI</t>
  </si>
  <si>
    <t>XIII</t>
  </si>
  <si>
    <t>Các nhiệm vụ, chương trình, dự án khác theo quy định của pháp luật</t>
  </si>
  <si>
    <t>Dự án di dân tái định cư thủy điện Sơn La, tỉnh Điện Biên</t>
  </si>
  <si>
    <t>Đề án sắp xếp ổn định dân cư, phát triển KT-XH bảo đảm QPAN huyện Mường Nhé, Điện Biên giai đoạn 2016-2020 (Đề án 79)</t>
  </si>
  <si>
    <t>3</t>
  </si>
  <si>
    <t>Đề án ổn định dân cư, phát triển kinh tế xã hội vùng tái định cư thủy điện Sơn La (giai đoạn 2)</t>
  </si>
  <si>
    <t>A.2</t>
  </si>
  <si>
    <t>Số vốn chưa được giao chi tiết KH trung hạn</t>
  </si>
  <si>
    <t>CHƯƠNG TRÌNH PHỤC HỒI PHÁT TRIỂN KTXH</t>
  </si>
  <si>
    <t>Dự án đầu tư Trung tâm kiểm soát bệnh tật (CDC) tỉnh Điện Biên</t>
  </si>
  <si>
    <t>Dự án đầu tư nâng cấp, cải tạo và mua sắm trang thiết bị 01 Phòng khám Đa khoa khu vực và 09 Trung tâm Y tế tuyến huyện, tỉnh Điện Biên</t>
  </si>
  <si>
    <t>Dự án đầu tư xây dựng, cải tạo, nâng cấp 25 trạm y tế tuyến xã, tỉnh Điện Biên</t>
  </si>
  <si>
    <t>Dự án nâng cấp, mở rộng Trung tâm Bảo trợ xã hội tỉnh Điện Biên</t>
  </si>
  <si>
    <t>huyện Điện Biên</t>
  </si>
  <si>
    <t>2016</t>
  </si>
  <si>
    <t>Huyện Nậm Pồ</t>
  </si>
  <si>
    <t>Huyện Tuần Giáo</t>
  </si>
  <si>
    <t>2021</t>
  </si>
  <si>
    <t>Điện Biên</t>
  </si>
  <si>
    <t>TP ĐBP</t>
  </si>
  <si>
    <t>Nậm Pồ</t>
  </si>
  <si>
    <t>TPĐBP</t>
  </si>
  <si>
    <t>2012</t>
  </si>
  <si>
    <t>H ĐB</t>
  </si>
  <si>
    <t>huyện Nậm Pồ</t>
  </si>
  <si>
    <t xml:space="preserve"> huyện Mường Chà</t>
  </si>
  <si>
    <t>huyện Mường Nhé</t>
  </si>
  <si>
    <t>Điện Biên Đông</t>
  </si>
  <si>
    <t>huyện Mường Ảng</t>
  </si>
  <si>
    <t>Mường Chà - Tủa Chùa</t>
  </si>
  <si>
    <t>Mường nhé</t>
  </si>
  <si>
    <t>huyện Mường Chà</t>
  </si>
  <si>
    <t>TP ĐBP - huyện Điện Biên</t>
  </si>
  <si>
    <t>Huyện Điện Biên Đông</t>
  </si>
  <si>
    <t>huyện Tủa Chùa</t>
  </si>
  <si>
    <t>huyện Tuần Giáo</t>
  </si>
  <si>
    <t>Nậm Pồ -Mường Ảng</t>
  </si>
  <si>
    <t>31 km</t>
  </si>
  <si>
    <t>13,548 km</t>
  </si>
  <si>
    <t>16 phòng học; 40 phòng nội trú</t>
  </si>
  <si>
    <t>26 phòng học và hiệu bộ</t>
  </si>
  <si>
    <t>200 GB</t>
  </si>
  <si>
    <t>100 GB</t>
  </si>
  <si>
    <t>DTXD: 565,8m2; HTKT</t>
  </si>
  <si>
    <t>DTXD: 7.141,8m2</t>
  </si>
  <si>
    <t>Nhà bảo tàng</t>
  </si>
  <si>
    <t>Trụ sở</t>
  </si>
  <si>
    <t>Bể bơi luyện tập và thi đấu, Sân vận động</t>
  </si>
  <si>
    <t>14,69 km kè</t>
  </si>
  <si>
    <t>Dung tích 2,5 triệu m3</t>
  </si>
  <si>
    <t>27,263 km</t>
  </si>
  <si>
    <t>Sắp xếp ổn định 48 hộ, 277 nhân khẩu</t>
  </si>
  <si>
    <t>40 hộ, 277 nhân khẩu</t>
  </si>
  <si>
    <t>29 hộ dân</t>
  </si>
  <si>
    <t>47 km</t>
  </si>
  <si>
    <t xml:space="preserve"> 2,3 km</t>
  </si>
  <si>
    <t>17,32 km</t>
  </si>
  <si>
    <t>1,1 km</t>
  </si>
  <si>
    <t>29 km</t>
  </si>
  <si>
    <t>50 km</t>
  </si>
  <si>
    <t>15,97 km</t>
  </si>
  <si>
    <t>32 km</t>
  </si>
  <si>
    <t>25,338 km</t>
  </si>
  <si>
    <t>21,381 km</t>
  </si>
  <si>
    <t>30 km</t>
  </si>
  <si>
    <t>35,35 km</t>
  </si>
  <si>
    <t>30,8 km</t>
  </si>
  <si>
    <t>52,83 km</t>
  </si>
  <si>
    <t>12,05 km</t>
  </si>
  <si>
    <t>28 km</t>
  </si>
  <si>
    <t>21,5 km</t>
  </si>
  <si>
    <t>12,3 km</t>
  </si>
  <si>
    <t>18 km</t>
  </si>
  <si>
    <t>13,8 km</t>
  </si>
  <si>
    <t>6,5 km</t>
  </si>
  <si>
    <t>26,4 km</t>
  </si>
  <si>
    <t>18,6 km</t>
  </si>
  <si>
    <t>Mường Ảng công suất 2,500m3/ ngày.đêm; Nậm Pồ công suất 1,200m3/ngày.đêm</t>
  </si>
  <si>
    <t>0,6 km</t>
  </si>
  <si>
    <t>diện tích xây dựng 1,140m2</t>
  </si>
  <si>
    <t>diện tích xây dựng 1,785m2</t>
  </si>
  <si>
    <t>1148/QĐ-UBND 30/10/2015; 19/QĐ-UBND 08/1/2020</t>
  </si>
  <si>
    <t>1260/QĐ-UBND 12/10/2016; 312/QĐ-UBND 31/5/2021</t>
  </si>
  <si>
    <t>1604/QĐ-UBND 30/10/2017; 1032/QĐ-UBND 24/10/2019; 266/QĐ-UBND 08/3/2021</t>
  </si>
  <si>
    <t>992/QĐ-UBND 31/5/2021</t>
  </si>
  <si>
    <t>3010/QĐ-UBND 19/11/2021</t>
  </si>
  <si>
    <t>3009/QĐ-UBND 19/11/2021</t>
  </si>
  <si>
    <t>1343/QĐ-UBND 9/11/2010; 1114/QĐ-UBND 30/10/2017; 489/QĐ-UBND 27/5/2020; 1206/QĐ-UBND 19/11/2020; QĐ 648/QĐ-UBND 10/4/2022</t>
  </si>
  <si>
    <t>514/QĐ-UBND 25/6/2018; 964/QĐ-UBND 23/9/2020</t>
  </si>
  <si>
    <t>3172/QĐ-UBND 06/12/2021</t>
  </si>
  <si>
    <t xml:space="preserve"> 903 QĐ-UBND 8/9/2011, 280/QĐ-UBND 10/3/2021</t>
  </si>
  <si>
    <t>1371/QĐ-UBND 09/8/2022</t>
  </si>
  <si>
    <t>2200/QĐ-UBND 01/12/2022</t>
  </si>
  <si>
    <t>1770/QĐ-UBND 30/9/2021</t>
  </si>
  <si>
    <t>861/QĐ-UBND 28/5/2021</t>
  </si>
  <si>
    <t>322/QĐ-UBND 15/4/2011; 156/QĐ-UBND 05/02/2021; 3383/QĐ-UBND 31/12/2021</t>
  </si>
  <si>
    <t>932/QĐ-UBND ngày 29/9/2019</t>
  </si>
  <si>
    <t>592/QĐ-UBND ngày 23/6/2020; 604a/QĐ-UBND ngày 26/6/2020</t>
  </si>
  <si>
    <t>933/QĐ-UBND ngày 29/9/2019; QĐ 443 ngày 15/5/2020</t>
  </si>
  <si>
    <t>1250/QĐ-UBND 28/12/2018; 120/QĐ-UBND 20/1/2022</t>
  </si>
  <si>
    <t xml:space="preserve">206/QĐ-UBND ngày 06/3/2020; 646/QĐ-UBND ngày 10/4/2022; </t>
  </si>
  <si>
    <t>574/QĐ-UBND ngày 14/6/2019; 647/QĐ-UBND ngày 10/4/2022</t>
  </si>
  <si>
    <t>1116/QĐ-UBND ngày 30/10/2017; 843/QĐ-UBND ngày 05/5/2022</t>
  </si>
  <si>
    <t>945/QĐ-UBND 28/5/2021</t>
  </si>
  <si>
    <t>288/QĐ-UBND 1/4/11</t>
  </si>
  <si>
    <t>148/QĐ-UBND ngày 04/2/2007</t>
  </si>
  <si>
    <t>1353/QĐ-UBND, 28/10/2016</t>
  </si>
  <si>
    <t>838-23/10/2013</t>
  </si>
  <si>
    <t>702/QĐ-UBND 27/7/2011; 413/QĐ-UBND 04/6/2014; 22/QĐ-UBND 08/1/2021</t>
  </si>
  <si>
    <t xml:space="preserve"> 837-30/10/2014</t>
  </si>
  <si>
    <t>591/QĐ-UBND 29/6/2017; 1267/QĐ-UBND, 11/12/2019</t>
  </si>
  <si>
    <t>01-04/1/2010; 1367-12/11/2010' 833-7/9/2013</t>
  </si>
  <si>
    <t>936a/QĐ-UBND 20/9/2011; 1099/QĐ-UBND ngày 29/10/2015; 236/QĐ-UBND 01/3/2021</t>
  </si>
  <si>
    <t>516/QĐ-UBND 03/6/2011; 636/QĐ-UBND 08/4/2022</t>
  </si>
  <si>
    <t>233/QĐ-UBND 01/3/2010; 635/QĐ-UBND 8/4/2022</t>
  </si>
  <si>
    <t>956/QĐ-UBND ngày 27/10/2017; 572/QĐ-UBND ngày 14/6/2019</t>
  </si>
  <si>
    <t>774/QĐ-UBND 24/5/2021</t>
  </si>
  <si>
    <t>3159/QĐ-UBND 6/12/2021</t>
  </si>
  <si>
    <t>986/QĐ-UBND 31/5/2021</t>
  </si>
  <si>
    <t>976/QĐ-UBND 30/5/2021</t>
  </si>
  <si>
    <t>3160/QĐ-UBND 6/12/2021</t>
  </si>
  <si>
    <t>1446/QĐ-UBND 15/8/2022</t>
  </si>
  <si>
    <t>841/QĐ-UBND 28/5/2021</t>
  </si>
  <si>
    <t>840/QĐ-UBND 28/5/2021</t>
  </si>
  <si>
    <t>2098/QĐ-UBND 14/11/2022</t>
  </si>
  <si>
    <t>643/QĐ-UBND 8/4/2022</t>
  </si>
  <si>
    <t>1340/QĐ-UBND 28/10/2016; 357/QĐ-UBND 24/4/2018; 1276/QĐ-UBND 19/7/2021</t>
  </si>
  <si>
    <t>1405/QĐ-UBND 31/10/2016; 703/QĐ-UBND 22/8/2018; 767/QĐ-UBND 13/7/2020; 712/QĐ-UBND 13/5/2021; 645/QĐ-UBND ngày 10/4/2022</t>
  </si>
  <si>
    <t>3008/QĐ-UBND 19/11/2021</t>
  </si>
  <si>
    <t>461/QĐ-UBND 5/4/2021; 3027/QĐ-UBND 22/11/2021</t>
  </si>
  <si>
    <t>1077/QĐ-UBND 29/10/2019; 730/QĐ-UBND ngày 28/4/2022</t>
  </si>
  <si>
    <t xml:space="preserve">1186/QĐ-UBND 30/10/2015; </t>
  </si>
  <si>
    <t>977/QĐ-UBND 30/5/2021</t>
  </si>
  <si>
    <t>978/QĐ-UBND 30/5/2021; 1131/QĐ-UBND 18/7/2023</t>
  </si>
  <si>
    <t>2009/QĐ-TTg 04/11/2013; VB 10122/VPCP-KTTH 02/12/2015</t>
  </si>
  <si>
    <t>473/QĐ-UBND ngày 27/3/2023</t>
  </si>
  <si>
    <t>472/QĐ-UBND ngày 27/3/2023</t>
  </si>
  <si>
    <t>471/QĐ-UBND ngày 27/3/2023</t>
  </si>
  <si>
    <t>1091/QĐ-UBND 11/7/2023</t>
  </si>
  <si>
    <t>NGÀNH/LĨNH VỰC: AN NINH, TRẬT TỰ, AN TOÀN XÃ HỘI</t>
  </si>
  <si>
    <t>(3)</t>
  </si>
  <si>
    <t>Đang trình đ/c trung hạn</t>
  </si>
  <si>
    <t>Đối ứng ODA</t>
  </si>
  <si>
    <t>tính là 1 dự án bên ODA</t>
  </si>
  <si>
    <t>10.1</t>
  </si>
  <si>
    <t>10.2</t>
  </si>
  <si>
    <t>K làm nữa</t>
  </si>
  <si>
    <t>10.3</t>
  </si>
  <si>
    <t>10.4</t>
  </si>
  <si>
    <t>10.5</t>
  </si>
  <si>
    <t>10.6</t>
  </si>
  <si>
    <t>10.7</t>
  </si>
  <si>
    <t>10.8</t>
  </si>
  <si>
    <t>XI</t>
  </si>
  <si>
    <t>Năm 2021 k giải ngân hết được cho phép bố trí lại</t>
  </si>
  <si>
    <t>DỰ ÁN KHÔNG GIẢI NGÂN THEO CƠ CHẾ TÀI CHÍNH TRONG NƯỚC</t>
  </si>
  <si>
    <t>Môi trường</t>
  </si>
  <si>
    <t xml:space="preserve">Dự án mở rộng quy mô vệ sinh và nước sạch nông thôn dựa trên kết quả </t>
  </si>
  <si>
    <t>WB</t>
  </si>
  <si>
    <t>AFD</t>
  </si>
  <si>
    <t>Dự án Phát triển cơ sở hạ tầng du lịch hỗ trợ cho tăng trưởng toàn diện khu vực Tiểu vùng Mê Công mở rộng</t>
  </si>
  <si>
    <t>ADB</t>
  </si>
  <si>
    <t>Các công trình công cộng tại đô thị</t>
  </si>
  <si>
    <t>Nông nghiệp, lâm nghiệp, diêm nghiệp, thủy lợi và thủy sản</t>
  </si>
  <si>
    <t>Dự án phát triển nông thôn thích ứng với thiên tai tỉnh Điện Biên</t>
  </si>
  <si>
    <t>Jica</t>
  </si>
  <si>
    <t>DỰ ÁN GIẢI NGÂN THEO CƠ CHẾ TÀI CHÍNH TRONG NƯỚC</t>
  </si>
  <si>
    <t>Cấp nước, thoát nước</t>
  </si>
  <si>
    <t>Nâng cấp hệ thống cấp nước tại địa phương đảm bảo an ninh nước sạch cho người dân khu vực kho khăn xã Thanh Nưa và xã Hua Thanh, huyện Điện Biên, tỉnh Điện Biên sử dụng vốn Quỹ đặc biệt Hợp tác Mê Công - Lan Thương</t>
  </si>
  <si>
    <t>1039/QĐ-UBND 10/8/2016</t>
  </si>
  <si>
    <t>170/QĐ-TTg ngày 04/2/2021</t>
  </si>
  <si>
    <t>2206/QĐ-TTg ngày 24/12/2020; 165/QĐ-BVHTTDL ngày 15/01/2021</t>
  </si>
  <si>
    <t>189/QĐ-TTg ngày 25/01/2014; 370/QĐ-BXD ngày 16/4/2014</t>
  </si>
  <si>
    <t>981/QĐ-TTg ngày 15/8/2022</t>
  </si>
  <si>
    <t>1906/QĐ-UBND ngày 19/10/2021</t>
  </si>
  <si>
    <t>Tổng só dự án</t>
  </si>
  <si>
    <t xml:space="preserve">Đường vành đai II ( Nối tiếp từ khu TĐC Noong Bua đến khu TĐC Pú Tửu) </t>
  </si>
  <si>
    <t>Giải phóng mặt bằng, hỗ trợ tái định cư theo quy hoạch chi tiết Cảng hàng không Điện Biên giai đoạn đến năm 2020, định hướng đến năm 2030 (để thực hiện dự án Nâng cấp, cải tạo Cảng hàng không Điện Biên)</t>
  </si>
  <si>
    <t>Dự án: Hạ tầng kỹ thuật khung khu trụ sở cơ quan, khu công cộng, khu thương mại dịch vụ dọc trục đường 60m</t>
  </si>
  <si>
    <t>Xây dựng cơ sở hạ tầng kỹ thuật, giao thông nội thị Khu vực Trung tâm chính trị hành chính tỉnh Điện Biên</t>
  </si>
  <si>
    <t>Xây dựng các tòa nhà trụ sở Tỉnh ủy, Đoàn ĐBQH - HĐND - UBND tỉnh</t>
  </si>
  <si>
    <t>Xây dựng khối nhà các cơ quan, sở ban ngành đoàn thể và Mặt trận tổ quốc tỉnh</t>
  </si>
  <si>
    <t>Dự án Xây dựng Thao trường khu vực hướng Tây Quân khu 2</t>
  </si>
  <si>
    <t>Dự án: Các hạng mục phụ trợ cơ sở làm việc Công an các xã biên giới thuộc Công an huyện Điện Biên, tỉnh Điện Biên</t>
  </si>
  <si>
    <t>Dự án: Các hạng mục phụ trợ cơ sở làm việc Công an các xã biên giới thuộc Công an huyện Nậm Pồ, Mường Chà, tỉnh Điện Biên</t>
  </si>
  <si>
    <t xml:space="preserve"> Đầu tư xây dựng cơ sở hạ tầng để đấu giá quyền sử dụng đất ở, phường Him Lam, thành phố Điện Biên Phủ</t>
  </si>
  <si>
    <t>Chi cấp bổ sung vốn cho Quỹ phát triển đất</t>
  </si>
  <si>
    <t>Dự phòng (10%) còn lại chưa phân bổ</t>
  </si>
  <si>
    <t>Bổ sung từ NSĐP cấp tỉnh cho ngân sách cấp huyện quản lý</t>
  </si>
  <si>
    <t xml:space="preserve">Thành phố Điện Biên Phủ </t>
  </si>
  <si>
    <t>Huyện Điện Biên</t>
  </si>
  <si>
    <t>Huyện Mường Ảng</t>
  </si>
  <si>
    <t>Huyện Mường Nhé</t>
  </si>
  <si>
    <t>Huyện Mường Chà</t>
  </si>
  <si>
    <t>Huyện Tủa Chùa</t>
  </si>
  <si>
    <t>Thị xã Mường Lay</t>
  </si>
  <si>
    <t xml:space="preserve">NSĐP cấp tỉnh quản lý </t>
  </si>
  <si>
    <t>Đối ứng các dự án ODA</t>
  </si>
  <si>
    <t>1)</t>
  </si>
  <si>
    <t>Dự án đường Chà Tở - Mường Tùng</t>
  </si>
  <si>
    <t>Dự án Cấp điện nông thôn từ lưới điện quốc gia tỉnh Điện Biên</t>
  </si>
  <si>
    <t>Chương trình Mở rộng quy mô vệ sinh và nước sạch nông thôn dựa trên kết quả (vốn WB)_Tiểu hợp phần 1: Cấp nước cho cộng đồng dân cư</t>
  </si>
  <si>
    <t>2)</t>
  </si>
  <si>
    <t>Chương trình đầu tư phát triển mạng lưới y tế cơ sở vùng khó khăn sử dụng vốn vay và viện trợ không hoàn lại của ADB trên địa bàn tỉnh Điện Biên</t>
  </si>
  <si>
    <t>III.3</t>
  </si>
  <si>
    <t>Thu hồi vốn đã tạm ứng NSTW</t>
  </si>
  <si>
    <t>Dự án trung tâm cụm xã</t>
  </si>
  <si>
    <t>Trung tâm giống thủy sản cấp I</t>
  </si>
  <si>
    <t>Dự án trung tâm đào tạo cộng đồng huyện Tuần Giáo</t>
  </si>
  <si>
    <t>Dự án giảm nghèo tỉnh Điện Biên giai đoạn 2010-2015</t>
  </si>
  <si>
    <t>Nhà máy nước Điện Biên Đông, huyện ĐBĐ</t>
  </si>
  <si>
    <t>Dự án đầu tư di chuyển các bản Hua Mức 1, Hua Mức 2, Pu Si 2 đến TĐC tại bản Hua Mứa 2 và các bản Nậm Bay, Pa Cá đến định cư tại Phiêng Xanh - Mùn Chung huyện Tuần Giáo</t>
  </si>
  <si>
    <t>Xây dựng điểm TĐC số I  dự án Nâng cấp, cải tạo Cảng hàng không Điện Biên</t>
  </si>
  <si>
    <t>Xây dựng điểm TĐC số III (bổ sung Điểm TĐC C13 mở rộng) dự án Nâng cấp, cải tạo Cảng hàng không Điện Biên</t>
  </si>
  <si>
    <t>Xây dựng điểm TĐC C13  dự án Nâng cấp, cải tạo Cảng hàng không Điện Biên</t>
  </si>
  <si>
    <t>Xây dựng điểm tái định cư số I mở rộng dự án Nâng cấp, cải tạo Cảng hàng không Điện Biên</t>
  </si>
  <si>
    <t>Dự án: Xây dựng khu, điểm tái định cư Khu trung tâm hành chính chính trị tỉnh Điện Biên</t>
  </si>
  <si>
    <t>Dự án phân theo ngành/lĩnh vực</t>
  </si>
  <si>
    <t>Ngành/lĩnh vực: Quốc phòng</t>
  </si>
  <si>
    <t>Đường ra biên giới Na Cô Sa - Mốc A6</t>
  </si>
  <si>
    <t>Kè chống sạt doanh trại dBB1/Bộ CHQS tỉnh Điện Biên</t>
  </si>
  <si>
    <t>Sửa chữa nhà khách; nhà ở, làm việc Chỉ huy; nhà ăn, nhà bếp cơ quan Bộ CHQS tỉnh</t>
  </si>
  <si>
    <t>Trận địa phòng không và các hạng mục bổ trợ trong khu căn cứ chiến đấu tỉnh Điện Biên</t>
  </si>
  <si>
    <t>Sửa chữa, cải tạo nâng cấp Nhà ăn nhà bếp, hạ tầng cấp, thoát nước mạng ngoài cơ quan Bộ CHQS tỉnh</t>
  </si>
  <si>
    <t>Kho tang chứng, vật chứng, hạ tầng phụ trợ Bộ CHQS tỉnh</t>
  </si>
  <si>
    <t>Dự án rà phá bom mìn vật nổ còn sót lại sau chiến tranh trên địa bàn tỉnh Điện Biên</t>
  </si>
  <si>
    <t>Xây dựng thao trường khu vực hướng Tây Quân khu 2</t>
  </si>
  <si>
    <t>3)</t>
  </si>
  <si>
    <t xml:space="preserve"> Xây dựng hệ thống cung cấp nước sạch cho khu vực Đoàn bộ Đoàn 379 và các hộ dân trên địa bàn đóng quân</t>
  </si>
  <si>
    <t xml:space="preserve"> Trận địa phòng không và các hạng mục bổ trợ của huyện Điện Biên Đông, tỉnh Điện Biên</t>
  </si>
  <si>
    <t>Ngành/lĩnh vực: An ninh, trật tự, an toàn xã hội</t>
  </si>
  <si>
    <t>Nhà làm việc câu lưu phòng quản lý xuất nhập cảnh</t>
  </si>
  <si>
    <t>Dự án: Các hạng mục phụ trợ cơ sở làm việc Công an các xã biên giới thuộc Công an huyện Điện Biên, Mường Nhé, tỉnh Điện Biên</t>
  </si>
  <si>
    <t>Dự án: Trụ sở làm việc Công an xã Thanh Hưng, huyện Điện Biên, tỉnh Điện Biên</t>
  </si>
  <si>
    <t>Ngành/lĩnh vực: Giáo dục đào tạo - GD nghề nghiệp</t>
  </si>
  <si>
    <t>Trường THPT Lương Thế Vinh</t>
  </si>
  <si>
    <t>Trường tiểu học số 1 Nà Nhạn, TP ĐBP</t>
  </si>
  <si>
    <t>Cải tạo, nâng cấp trường Tiểu học số 1 xã Pá Khoang, TP ĐBP</t>
  </si>
  <si>
    <t>Cải tạo, nâng cấp trường Tiểu học Hoàng Văn Nô, TP ĐBP</t>
  </si>
  <si>
    <t>Cải tạo, nâng cấp nhà lớp học trường mầm non Thanh Bình, TP ĐBP</t>
  </si>
  <si>
    <t>Xây dựng trường phổ thông DTBT tiểu học Chiềng Sơ, huyện Điện Biên Đông (giai đoạn 1)</t>
  </si>
  <si>
    <t>Nâng cấp trường PTDTBT THCS Leng Su Sìn xã Leng Su Sìn</t>
  </si>
  <si>
    <t>Trường tiểu học trung tâm huyện Nậm Pồ</t>
  </si>
  <si>
    <t>Trường Trung học cơ sở huyện Nậm Pồ</t>
  </si>
  <si>
    <t xml:space="preserve"> Nhà bếp, ăn và các hạng mục phụ trợ Trường Cao đẳng nghề Điện Biên </t>
  </si>
  <si>
    <t>Bổ sung cơ sở vật chất trường THPT Nà Tấu, TP ĐBP</t>
  </si>
  <si>
    <t>Bổ sung cơ sở vật chất trường THCS THPT Quyết Tiến, huyện Tủa Chùa</t>
  </si>
  <si>
    <t>Bổ sung cơ sở vật chất trường PTDTNT THPT huyện Điện Biên</t>
  </si>
  <si>
    <t>Bổ sung cơ sở vật chất trường PTDTNT THPT huyện Điện Biên Đông</t>
  </si>
  <si>
    <t>Bổ sung cơ sở vật chất trường PTDTNT THPT huyện Tủa Chùa</t>
  </si>
  <si>
    <t>Cải tạo, nâng cấp trường Tiểu học số 2 Nà Tấu, Thành phố Điện Biên Phủ</t>
  </si>
  <si>
    <t>Bổ sung cơ sở vật chất trường PTDTNT tỉnh Điện Biên</t>
  </si>
  <si>
    <t>Bổ sung cơ sở vật chất trường PTDTNT huyện Mường Chà.</t>
  </si>
  <si>
    <t>Trường PTDT bán trú tiểu học số 1 xã Mường Toong, huyện Mường Nhé</t>
  </si>
  <si>
    <t xml:space="preserve"> Sửa chữa, nâng cấp Trường Tiểu học Hà Nội - Điện Biên Phủ</t>
  </si>
  <si>
    <t>Xây dựng trường PTDT bán trú tiểu học xã Mường Đun, huyện Tủa Chùa</t>
  </si>
  <si>
    <t xml:space="preserve"> Cải tạo, sửa chữa, nâng cấp Trường THCS Thanh Bình, thành phố Điện Biên Phủ</t>
  </si>
  <si>
    <t xml:space="preserve"> Cải tạo, sửa chữa, nâng cấp Trường mầm non số 2 xã Pá Khoang</t>
  </si>
  <si>
    <t xml:space="preserve"> Cải tạo, nâng cấp trường mầm non Nam Thanh,thành phố Điện Biên Phủ</t>
  </si>
  <si>
    <t xml:space="preserve"> Xây dựng nhà lớp học 7 tầng + Thư viện Trường Chính trị tỉnh Điện Biên</t>
  </si>
  <si>
    <t xml:space="preserve"> Cải tạo, nâng cấp Trường mầm non Sơn Ca, thành phố Điện Biên Phủ</t>
  </si>
  <si>
    <t>(4)</t>
  </si>
  <si>
    <t>Ngành/lĩnh vực: Khoa học và công nghệ</t>
  </si>
  <si>
    <t>Xây dựng trụ sở Trung Tâm Kỹ Thuật Tiêu chuẩn Đo lường Chất lượng</t>
  </si>
  <si>
    <t xml:space="preserve"> Đầu tư thiết bị Trung tâm kỹ thuật tiêu chuẩn đo luờng chất luợng tỉnh Điện Biên</t>
  </si>
  <si>
    <t>Đầu tư trang thiết bị Trung tâm kiểm định chất lượng xây dựng tỉnh Điện Biên</t>
  </si>
  <si>
    <t>(5)</t>
  </si>
  <si>
    <t>Ngành/lĩnh vực: Y tế, dân số và gia đình</t>
  </si>
  <si>
    <t xml:space="preserve"> XD mới Khoa tiền lâm sàng và sửa chữa, nâng cấp một số khoa, phòng và các hạng mục phụ trợ Trường CĐ Y tế Điện Biên</t>
  </si>
  <si>
    <t>Sửa chữa TTYT huyện Tuần Giáo</t>
  </si>
  <si>
    <t>Sửa chữa TTYT huyện Tủa Chùa</t>
  </si>
  <si>
    <t>Sửa chữa TTYT huyện Mường Chà</t>
  </si>
  <si>
    <t>Nâng cấp, sửa chữa trạm y tế xã Nà Bủng huyện Nậm Pồ</t>
  </si>
  <si>
    <t>Nâng cấp, sửa chữa trạm y tế xã Quảng Lâm huyện Mường Nhé</t>
  </si>
  <si>
    <t>Cải tao, sửa chữa TTYT thị xã Mường Lay</t>
  </si>
  <si>
    <t>Cải tạo, nâng cấp Trung tâm y tế huyện Điện Biên Đông</t>
  </si>
  <si>
    <t xml:space="preserve"> Cải tạo, nâng cấp Trung tâm Y tế huyện Mường Nhé</t>
  </si>
  <si>
    <t xml:space="preserve"> Giai đoạn II - Cải tạo nâng cấp BVĐK tỉnh giai đoạn II (từ 300 lên 500 GB)</t>
  </si>
  <si>
    <t>Cải tạo, nâng cấp Bệnh viện Y học cổ truyền - Phục hồi chức năng tỉnh</t>
  </si>
  <si>
    <t>(6)</t>
  </si>
  <si>
    <t>Ngành/lĩnh vực: Văn hóa, thông tin</t>
  </si>
  <si>
    <t>Cải tạo, sửa chữa công trình Tượng đài chiến thắng Điện Biên Phủ</t>
  </si>
  <si>
    <t>Dự án bảo tàng chiến thắng Điện Biên Phủ giai đoạn II tỉnh ĐB</t>
  </si>
  <si>
    <t>Cải tạo, sửa chữa các công trình; điểm di tích nhằm phục vụ Lễ kỷ niệm 70 năm Chiến thắng lịch sử Điện Biên Phủ</t>
  </si>
  <si>
    <t xml:space="preserve"> Sửa chữa Sân vận động tỉnh Điện Biên </t>
  </si>
  <si>
    <t>(7)</t>
  </si>
  <si>
    <t>Ngành/lĩnh vực: Phát thanh, truyền hình, thông tấn</t>
  </si>
  <si>
    <t>Duy tu sửa chữa tháp an ten truyền hình cao 125m</t>
  </si>
  <si>
    <t>Nâng cấp xe phục vụ truyền hình lưu động, Đài PTTH tỉnh</t>
  </si>
  <si>
    <t>(8)</t>
  </si>
  <si>
    <t>Ngành/lĩnh vực: Thể dục thể thao</t>
  </si>
  <si>
    <t>Sân vận động huyện Điện Biên</t>
  </si>
  <si>
    <t>Sân vận động huyện Tuần Giáo</t>
  </si>
  <si>
    <t>(9)</t>
  </si>
  <si>
    <t>Ngành/lĩnh vực: Bảo vệ môi trường</t>
  </si>
  <si>
    <t>Nâng cấp, bổ sung các trang thiết bị quan trắc môi trường tỉnh Điện Biên</t>
  </si>
  <si>
    <t>Dự án Đầu tư các trạm quan trắc môi trường không khí tự động (tại TP Điện Biên Phủ; TT Tuần Giáo; Cụm công nghiệp Na Hai huyện Điện Biên và  Sở Tài nguyên và Môi trường)</t>
  </si>
  <si>
    <t>(10)</t>
  </si>
  <si>
    <t>Ngành/lĩnh vực: Các hoạt động kinh tế</t>
  </si>
  <si>
    <t>Thủy lợi Nậm Pố xã Nà Hỳ, huyện Mường Nhé (nay là huyện Nậm Pồ)</t>
  </si>
  <si>
    <t>Hồ chứa nước Ẳng Cang</t>
  </si>
  <si>
    <t>Dự án bố trí ổn định dân cư vùng có nguy cơ sạt lở, lũ quét ĐBKK các bản Suối Lư I,II,III đến định cư tại khu vực bãi Huổi Po, xã Keo Lôm, huyện Điện Biên Đông</t>
  </si>
  <si>
    <t xml:space="preserve">Cơ sở hạ tầng các khu bảo tồn tỉnh Điện Biên </t>
  </si>
  <si>
    <t>Hệ thống kênh nội đồng công trình hồ Nậm Ngám - Pú Nhi, huyện Điện Biên Đông</t>
  </si>
  <si>
    <t>Kè chống sạt lở khu dân cư, đất sản xuất xã Búng Lao, huyện Mường Ảng</t>
  </si>
  <si>
    <t>Kè chống sạt lở suối Huổi Luông, thôn bản Hột, xã Mường Đun, huyện Tủa Chùa</t>
  </si>
  <si>
    <t>Công trình thuỷ lợi Nậm Khẩu Hu, xã Thanh Nưa, huyện Điện Biên (hợp phần thuỷ lợi)</t>
  </si>
  <si>
    <t xml:space="preserve"> Dự án phát triển nông thôn thích ứng thiên tai, tỉnh Điện Biên </t>
  </si>
  <si>
    <t>Thủy lợi khu khối 7, 8 và bản Co Có xã Ẳng Tở, huyện Mường Ảng</t>
  </si>
  <si>
    <t>Đường nội thị giai đoạn I (trục 42m), huyện Mường Ảng</t>
  </si>
  <si>
    <t>Đường từ bản Co Đứa – TT xã Mường Khong</t>
  </si>
  <si>
    <t>Dự án đường Mường Lay - Nậm Nhùn (giai đoạn 1)</t>
  </si>
  <si>
    <t>Quốc Lộ 279 (Trạm khí tượng) đi trung tâm Pú Tửu xã Thanh Xương, huyện Điện Biên</t>
  </si>
  <si>
    <t>Đường giao thông lên bản + nội bản điểm ĐCĐC Hô Huổi Luông A, xã Lay Nưa, thị xã Mường Lay</t>
  </si>
  <si>
    <t>Đường giao thông lên bản + nội bản điểm ĐCĐC Hô Nậm Cản, xã Lay Nưa, thị xã Mường Lay</t>
  </si>
  <si>
    <t>Đường Trung tâm xã Tênh Phông (Km1+967) - bản Thẳm Nặm, huyện Tuần Giáo</t>
  </si>
  <si>
    <t>Đường từ bản Hồng Lực, xã Nà Sáy - bản Co Đứa, xã Mường Khong, huyện Tuần Giáo</t>
  </si>
  <si>
    <t>NC SC đường nội thị, thảm BT nhựa 1 số trục đường nội thị thị trấn Điện Biên Đông</t>
  </si>
  <si>
    <t xml:space="preserve"> Sửa chữa, nâng cấp đường Trụ Sở xã mới - Bản Chua Ta B, huyện ĐBĐ</t>
  </si>
  <si>
    <t>Sửa chữa, nâng cấp đường Háng Lìa, Tìa Dình, huyện ĐBĐ</t>
  </si>
  <si>
    <t>Sửa chữa, nâng cấp đường nội thị Thị trấn, huyện Mường Chà</t>
  </si>
  <si>
    <t>Cải tạo, nâng cấp đường từ ngã ba bệnh viện tỉnh đến ngã tư Tà Lèng (Đoạn từ nút N20 đến trung tâm xã Tà Lèng), TP ĐBP</t>
  </si>
  <si>
    <t>Cầu bê tông qua ngã ba suối dưới bản Sen Thượng xã Sen Thượng, huyện Mường Nhé</t>
  </si>
  <si>
    <t>Nâng cấp tuyến đường từ bản Sen Thượng - Pa Ma - Lò San Chái, huyện Mường Nhé</t>
  </si>
  <si>
    <t>Nâng cấp đường giao thông QL6 - bản Xà Phình 1+2, xã Sá Tổng, huyện Mường Chà</t>
  </si>
  <si>
    <t>Cầu Nà Khoa, huyện Nậm Pồ</t>
  </si>
  <si>
    <t>Khu công nghiệp, khu kinh tế</t>
  </si>
  <si>
    <t>Thương mại</t>
  </si>
  <si>
    <t>Xây dựng hệ thống cấp nước bổ sung của Nhà máy nước huyện Tủa Chùa</t>
  </si>
  <si>
    <t>Kho tàng</t>
  </si>
  <si>
    <t>Du lịch</t>
  </si>
  <si>
    <t>Đường dạo leo núi khu du lịch Pa Khoang</t>
  </si>
  <si>
    <t>Các hạng mục phụ trợ + thiết bị công trình trung tâm giao lưu và thông tin du lịch Điện Biên Phủ</t>
  </si>
  <si>
    <t>10.9</t>
  </si>
  <si>
    <t>Bưu chính, viễn thông</t>
  </si>
  <si>
    <t>10.10</t>
  </si>
  <si>
    <t>Dự án số hóa tài liệu lưu trữ lịch sử tỉnh Điện Biên</t>
  </si>
  <si>
    <t>2</t>
  </si>
  <si>
    <t>Ứng dụng công nghệ thông tin trong hoạt động các cơ quan Đảng trên địa bàn tỉnh Điện Biên, giai đoạn 2021-2025</t>
  </si>
  <si>
    <t>10.11</t>
  </si>
  <si>
    <t xml:space="preserve"> Điều chỉnh Quy hoạch chi tiết xây dựng Cụm công nghiệp hỗn hợp xã Ẳng Tở, huyện Mường Ảng</t>
  </si>
  <si>
    <t>10.12</t>
  </si>
  <si>
    <t>Kè bảo vệ khu dân cư và các công trình hạ tầng kỹ thuật trung tâm huyện lỵ Nậm Pồ</t>
  </si>
  <si>
    <t xml:space="preserve"> Khu dân cư cụm III trung tâm huyện lỵ huyện Điện Biên, tỉnh Điện Biên</t>
  </si>
  <si>
    <t>Kè bảo vệ khu dân cư và công trình hạ tầng kỹ thuật suối Tin Tốc thị trấn Mường Ảng (giai đoạn II)</t>
  </si>
  <si>
    <t>Nâng cấp, sửa chữa rãnh thoát nước, vỉa hè đường Nguyễn Chí Thanh, Thành phố Điện Biên Phủ</t>
  </si>
  <si>
    <t>Đường bê tông, rãnh thoát nước, sân vui chơi tổ dân phố 10, 11 phường Nam Thanh, thành phố Điện Biên Phủ.</t>
  </si>
  <si>
    <t>Nghĩa trang nhân dân huyện Mường Ảng (giai đoạn 1)</t>
  </si>
  <si>
    <t>Nâng cấp các tuyến đường nội thị thị trấn Tủa Chùa, huyện Tủa Chùa</t>
  </si>
  <si>
    <t>Nghĩa trang nhân dân thị xã Mường Lay (giai đoạn 1)</t>
  </si>
  <si>
    <t>10.13</t>
  </si>
  <si>
    <t>(11)</t>
  </si>
  <si>
    <t>Ngành/lĩnh vực: Hoạt động của cơ quan QLNN</t>
  </si>
  <si>
    <t>Trụ sở làm việc Ban quản lý dự án các công trình Nông nghiệp và Phát triển nông thôn Điện Biên</t>
  </si>
  <si>
    <t>Trụ sở làm việc Trung tâm kiểm định chất lượng xây dựng tỉnh Điện Biên</t>
  </si>
  <si>
    <t>Xây mới trụ sở UBND xã Pá Khoang, TP ĐBP</t>
  </si>
  <si>
    <t>Trụ sở Trung tâm quy hoạch xây dựng đô thị và nông thôn tỉnh Điện Biên</t>
  </si>
  <si>
    <t>Trụ sở xã Nậm Nhừ, huyện Nậm Pồ</t>
  </si>
  <si>
    <t>Trụ sở xã Nậm Chua, huyện Nậm Pồ</t>
  </si>
  <si>
    <t>Dự án sửa chữa, nâng cấp trụ sở Đoàn nghệ thuật tỉnh</t>
  </si>
  <si>
    <t>Cải tạo, nâng cấp, sửa chữa Trung tâm hoạt động TTN Điện Biên</t>
  </si>
  <si>
    <t>Nâng cấp, sửa chữa Nhà khách Huyện ủy - HĐND và UBND huyện Tủa Chùa</t>
  </si>
  <si>
    <t>Trung tâm hội nghị - văn hóa huyện Mường Ảng</t>
  </si>
  <si>
    <t>Hỗ trợ xây dựng trụ sở làm việc và công trình phụ trợ Hội Cựu chiến binh tỉnh</t>
  </si>
  <si>
    <t>Dự án: Trụ sở Ban quản lý Di tích tỉnh Điện Biên</t>
  </si>
  <si>
    <t>Dự án: Trụ sở Phòng giáo dục và đào tạo thành phố Điện Biên Phủ</t>
  </si>
  <si>
    <t>(12)</t>
  </si>
  <si>
    <t>Ngành/lĩnh vực: Xã hội</t>
  </si>
  <si>
    <t>Nâng cấp, sửa chữa CSVC, bổ sung trang trang thiết Trung tâm chữa bệnh - Giáo dục - LĐXH tỉnh</t>
  </si>
  <si>
    <t>Dự án xây dựng Nhà lưu xá sinh viên làng trẻ em SOS Điện Biên Phủ</t>
  </si>
  <si>
    <t>(13)</t>
  </si>
  <si>
    <t>Đối ứng, lồng ghép Chương trình MTQG Xây dựng nông thôn mới</t>
  </si>
  <si>
    <t xml:space="preserve"> Nâng cấp đường liên xã từ QL279 Thanh An - Noong Hẹt - Sam Mứn huyện Điện Biên</t>
  </si>
  <si>
    <t xml:space="preserve"> Nâng cấp đường liên xã từ QL12 vào xã Thanh Chăn - Thanh Yên huyện Điện Biên</t>
  </si>
  <si>
    <t xml:space="preserve"> Kiên cố kênh tưới tiêu từ thôn Văn Tân xã Noong Hẹt đến bản Na Vai, xã Pom Lót, huyện Điện Biên</t>
  </si>
  <si>
    <t xml:space="preserve"> Kè bảo vệ khu dân cư, đất sản xuất và công trình công cộng suối Nậm Cọ, huyện Điện Biên</t>
  </si>
  <si>
    <t>VỐN XỔ SỐ KIẾN THIẾT</t>
  </si>
  <si>
    <t>*</t>
  </si>
  <si>
    <t>Trường phổ thông DTBT THCS Tênh Phông</t>
  </si>
  <si>
    <t>Trường phổ thông DTBT THCS Tả Phìn</t>
  </si>
  <si>
    <t>Trường THCS và THPT Quyết tiến huyện Tủa Chùa</t>
  </si>
  <si>
    <t>PTDTBT THCS Nậm Nhừ</t>
  </si>
  <si>
    <t>Các dự án lồng ghép vốn cân đối NSĐP</t>
  </si>
  <si>
    <t>Nhà Đa năng và các hạng mục phụ trợ trường THPT Mường Ảng</t>
  </si>
  <si>
    <t>Bổ sung cơ sở vật chất trường THPT Thanh Nưa huyện Điện Biên</t>
  </si>
  <si>
    <t>Các hạng mục phụ trợ trường THCS và THPT Quài Tở</t>
  </si>
  <si>
    <t xml:space="preserve"> XD Phòng học và Hội trường Trường CĐ Sư phạm</t>
  </si>
  <si>
    <t>Trường Mầm non xã Lao Xả Phình, huyện Tủa Chùa</t>
  </si>
  <si>
    <t>Bổ sung cơ sở vật chất trường THPT Mường Luân, huyện Điện Biên Đông</t>
  </si>
  <si>
    <t>Bổ sung cơ sở vật chất trường THCS THPT Quài Tở, huyện Tuần Giáo</t>
  </si>
  <si>
    <t>Xây dựng Nhà thực hành nghề phi nông nghiệp Trường Cao đẳng Kinh tế - Kỹ thuật Điện Biên</t>
  </si>
  <si>
    <t xml:space="preserve"> Cải tạo, sửa chữa khu giảng đường và hạng mục phụ trợ Trường Cao đẳng kinh tế - Kỹ thuật Điện Biên</t>
  </si>
  <si>
    <t>Bổ sung cơ sở vật chất trường CĐ Sư phạm</t>
  </si>
  <si>
    <t>Nâng cấp, cải tạo cơ sở vật chất thực hành nghề, trường Cao đẳng Nghề</t>
  </si>
  <si>
    <t>Ngành/lĩnh vực: Y tế</t>
  </si>
  <si>
    <t>Trạm y tế Phình Sáng</t>
  </si>
  <si>
    <t>Trạm Y tế Thị trấn Mường Chà</t>
  </si>
  <si>
    <t>Trạm Y tế xã Thanh An, huyện Điện Biên</t>
  </si>
  <si>
    <t>Nâng cấp, sửa chữa trạm y tế xã Mường Mơn huyện Mường Chà</t>
  </si>
  <si>
    <t xml:space="preserve">Nâng cấp, sửa chữa 3 trạm y tế xã Mường Pồn, Pom Lót huyện Điện Biên và xã Nà Nhạn TP. Điện Biên Phủ </t>
  </si>
  <si>
    <t>Nâng cấp, sửa chữa 4 trạm y tế xã Chiềng Sinh, Nà Sáy, Quài Nưa, Ta Ma huyện Tuần Giáo</t>
  </si>
  <si>
    <t>Nâng cấp, sửa chữa 3 trạm y tế xã Xa Dung, Pú Hồng, Noong U huyện Điện Biên Đông</t>
  </si>
  <si>
    <t>Nâng cấp, sửa chữa trạm y tế xã Xá Nhè huyện Tủa Chùa</t>
  </si>
  <si>
    <t>Nâng cấp, sửa chữa 4 trạm y tế xã Ngối Cáy, Ẳng Nưa, Mường Đăng, Mường Lạn huyện Mường Ảng</t>
  </si>
  <si>
    <t>Cải tạo, sửa chữa cơ sở vật chất các khoa phòng của trung tâm kiểm soát bệnh tật tỉnh và trụ sở làm việc của Sở Y tế</t>
  </si>
  <si>
    <t>Cải tạo, nâng cấp Trụ sở Trung tâm Pháp y tỉnh Điện Biên</t>
  </si>
  <si>
    <t>Nâng cấp, sửa chữa trạm y tế phường Him Lam TP Điện Biên Phủ</t>
  </si>
  <si>
    <t xml:space="preserve"> Ngành/lĩnh vực: Khoa học công nghệ</t>
  </si>
  <si>
    <t xml:space="preserve"> Xây dựng phòng thí nghiệm, thử nghiệm và thực nghiệm công nghệ sinh học, nông nghiệp công nghệ cao Trung tâm Thông tin và Ứng dụng Tiến bộ khoa học công nghệ thuộc Sở Khoa học và Công nghệ tỉnh Điện Biên</t>
  </si>
  <si>
    <t>Các nhiệm vụ trọng tâm thuộc CTMTQG xây dựng nông thôn mới</t>
  </si>
  <si>
    <t>Năm 2021 giao tại 650/QĐ-UBND 4/5/2021</t>
  </si>
  <si>
    <t>Đường giao thông bản kéo, xã Pá Khoang, TP ĐBP</t>
  </si>
  <si>
    <t>Đường giao thông bản Hả, Xã Pá Khoang, TP ĐBP</t>
  </si>
  <si>
    <t>Đường giao thông bản Bó, Xã Pá khoang, TP ĐBP</t>
  </si>
  <si>
    <t xml:space="preserve"> Nâng cấp chợ trung tâm huyện Mường Ảng</t>
  </si>
  <si>
    <t>H Điện Biên</t>
  </si>
  <si>
    <t>Nậm Pồ - Mường Chà</t>
  </si>
  <si>
    <t>Mường Nhé</t>
  </si>
  <si>
    <t>ĐBĐ</t>
  </si>
  <si>
    <t>Tủa Chùa</t>
  </si>
  <si>
    <t>Tuần Giáo</t>
  </si>
  <si>
    <t>Mường Chà</t>
  </si>
  <si>
    <t>Mường Ảng</t>
  </si>
  <si>
    <t>Mường Lay</t>
  </si>
  <si>
    <t>Sở Y tế</t>
  </si>
  <si>
    <t>1333/QĐ-UBND 04/12/2015; 2051/QĐ-UBND 12/11/2021; 1386/QĐ-UBND 11/8/2022</t>
  </si>
  <si>
    <t>799/QĐ-UBND 14/8/2020</t>
  </si>
  <si>
    <t>106/QĐ-UBND 13/02/2017; 3407/QĐ-UBND 31/12/2021</t>
  </si>
  <si>
    <t>1047/QĐ-UBND 16/6/2022</t>
  </si>
  <si>
    <t>3180/QĐ-UBND 06/12/2021</t>
  </si>
  <si>
    <t>2774/QĐ-CAT-PH10 ngày 02/12/2022</t>
  </si>
  <si>
    <t>2773/QĐ-CAT-PH10 ngày 02/12/2022</t>
  </si>
  <si>
    <t xml:space="preserve"> 119/HĐND-KTNS ngày 12/6/2017; 575/QĐ-UBND ngày 18/7/2018  </t>
  </si>
  <si>
    <t>394/QĐ-UBND  08/5/2017</t>
  </si>
  <si>
    <t>802/QĐ-UBND 22/10/2014; 660/QĐ-UBND 08/8/2018; 1740/QĐ-TTg 13/12/2019</t>
  </si>
  <si>
    <t>1039/QĐ-UBND ngày 10/8/2016</t>
  </si>
  <si>
    <t>6689/QĐ-BYT 02/11/2018
3826/QĐ-BYT 28/6/2019</t>
  </si>
  <si>
    <t>560 hộ TĐC</t>
  </si>
  <si>
    <t>1084/QĐ-UBND ngày 29/10/2019</t>
  </si>
  <si>
    <t>400 hộ TĐC</t>
  </si>
  <si>
    <t>1083/QĐ-UBND ngày 29/10/2019; 137 14/2/2020</t>
  </si>
  <si>
    <t>110 hộ TĐC</t>
  </si>
  <si>
    <t>841/QĐ-UBND ngày 09/9/2019; 135 14/2/2020</t>
  </si>
  <si>
    <t>1333/QĐ-UBND 04/12/2015; 1052/QĐ-UBND 09/6/2021</t>
  </si>
  <si>
    <t>799/QĐ-UBND ngày 14/8/2020</t>
  </si>
  <si>
    <t>508 lô đất TĐC</t>
  </si>
  <si>
    <t>1054/QĐ-UBND 17/6/2022</t>
  </si>
  <si>
    <t xml:space="preserve">1043/QĐ-UBND ngày 10/10/2011 </t>
  </si>
  <si>
    <t>514,8 m</t>
  </si>
  <si>
    <t>1117/QĐ-UBND 29/10/2020</t>
  </si>
  <si>
    <t>3039/QĐ-UBND 23/11/2021</t>
  </si>
  <si>
    <t>642/QĐ-UBND 23/11/2021</t>
  </si>
  <si>
    <t>2063/QĐ-UBND 15/11/2021</t>
  </si>
  <si>
    <t>01 kho</t>
  </si>
  <si>
    <t>2062/QĐ-UBND 15/11/2021</t>
  </si>
  <si>
    <t>2045/QĐ-UBND 11/11/2021</t>
  </si>
  <si>
    <t xml:space="preserve"> 50/QĐ-UBND ngày 02/02/2024</t>
  </si>
  <si>
    <t>2061/QĐ-UBND 16/11/2021</t>
  </si>
  <si>
    <t>2772/QĐ-CAT-PH10 ngày 02/12/2022</t>
  </si>
  <si>
    <t>01 trụ sở</t>
  </si>
  <si>
    <t>2771/QĐ-CAT-PH10 ngày 02/12/2022</t>
  </si>
  <si>
    <t>835/QĐ-UBND  10/9/2012; 1102/QĐ-UBND 01/9/2016; 876/QĐ 17/9/2019</t>
  </si>
  <si>
    <t>13 phòng học</t>
  </si>
  <si>
    <t>633/QĐ-UBND  29/04/2021</t>
  </si>
  <si>
    <t>08 phòng học</t>
  </si>
  <si>
    <t>576/QĐ-UBND 19/4/2021</t>
  </si>
  <si>
    <t>09 phòng học</t>
  </si>
  <si>
    <t>597/QĐ-UBND 26/4/2021</t>
  </si>
  <si>
    <t>12 phòng học</t>
  </si>
  <si>
    <t>616/QĐ-UBND 27/4/2021</t>
  </si>
  <si>
    <t>12 phòng học+ 06 phòng bộ môn</t>
  </si>
  <si>
    <t>2203/QĐ-UBND 02/12/2022</t>
  </si>
  <si>
    <t>12 phòng học+ 04 phòng bộ môn</t>
  </si>
  <si>
    <t>1515/QĐ-UBND 31/12/2020;  434/QĐ-UBND 31/3/2021</t>
  </si>
  <si>
    <t>10 phòng học</t>
  </si>
  <si>
    <t>1156/QĐ-UBND 28/6/2021</t>
  </si>
  <si>
    <t>1117/QĐ-UBND 24/6/2021</t>
  </si>
  <si>
    <t>DTXD: 401m2</t>
  </si>
  <si>
    <t>1489/QĐ-UBND 30/12/2020</t>
  </si>
  <si>
    <t>01 Nhà nội trú</t>
  </si>
  <si>
    <t>1509/QĐ-UBND 20/8/2021</t>
  </si>
  <si>
    <t>08 phòng học+ 02 phòng bộ môn</t>
  </si>
  <si>
    <t>1931/QĐ-UBND 17/10/2022</t>
  </si>
  <si>
    <t>18 phòng nội trú + phụ trợ</t>
  </si>
  <si>
    <t>1957/QĐ-UBND 30/11/2023</t>
  </si>
  <si>
    <t>10 phòng học+ 21 phòng nội trú</t>
  </si>
  <si>
    <t>1922/QĐ-UBND 14/10/2022</t>
  </si>
  <si>
    <t>5 phòng học+ 12 phòng nội trú</t>
  </si>
  <si>
    <t>3017/QĐ-UBND 22/11/2021</t>
  </si>
  <si>
    <t>17 phòng học</t>
  </si>
  <si>
    <t>3069/QĐ-UBND 29/11/2021</t>
  </si>
  <si>
    <t>10 phòng học+ 40 phòng nội trú</t>
  </si>
  <si>
    <t>1032/QĐ-UBND 24/10/2019</t>
  </si>
  <si>
    <t xml:space="preserve"> 302/QĐ-UBND ngày 28/02/2023</t>
  </si>
  <si>
    <t>10 phòng học+ 14 phòng nội trú</t>
  </si>
  <si>
    <t>3227/QĐ-UBND 14/12/2021</t>
  </si>
  <si>
    <t>DTXD 277m2</t>
  </si>
  <si>
    <t>3011/QĐ-UBND 19/11/2021</t>
  </si>
  <si>
    <t>2175/QĐ-UBND 25/11/2022</t>
  </si>
  <si>
    <t>DTXD: 543m2</t>
  </si>
  <si>
    <t>1115/QĐ-UBND 30/10/2019</t>
  </si>
  <si>
    <t>CT, SC</t>
  </si>
  <si>
    <t>1420/QĐ-UBND 16/12/2020</t>
  </si>
  <si>
    <t>1421/QĐ-UBND 16/12/2020</t>
  </si>
  <si>
    <t>1422/QĐ-UBND 16/12/2020</t>
  </si>
  <si>
    <t>DTXD: 148m2</t>
  </si>
  <si>
    <t>1423/QĐ-UBND 16/12/2020</t>
  </si>
  <si>
    <t>DTXD: 143m2</t>
  </si>
  <si>
    <t>1425/QĐ-UBND 16/12/2020</t>
  </si>
  <si>
    <t>Quyết định số 1124 /QĐ-UBND ngày 30/6/ 2022</t>
  </si>
  <si>
    <t>DTXD: 930m2</t>
  </si>
  <si>
    <t>3005/QĐ-UBND 19/11/2021</t>
  </si>
  <si>
    <t>881/QĐ-UBND 18/9/2019</t>
  </si>
  <si>
    <t>880/QĐ-UBND 10/5/2022</t>
  </si>
  <si>
    <t xml:space="preserve"> 569/QĐ-UBND ngày 04/4/2023</t>
  </si>
  <si>
    <t>1410/QĐ-UBND 5/9/2023</t>
  </si>
  <si>
    <t>3070/QĐ-UBND 29/11/2021</t>
  </si>
  <si>
    <t>2091 chỗ ngồi</t>
  </si>
  <si>
    <t>1863/QĐ-UBND 06/10/2022</t>
  </si>
  <si>
    <t>1119/QĐ-UBND 30/10/2019; 92/QĐ-UBND 18/01/2022</t>
  </si>
  <si>
    <t>1487 QĐ-UB 17/03/2011; 1298/QĐ-UBND 25/10/2016</t>
  </si>
  <si>
    <t>151/QĐ-UBND 14/2/2015; 914QĐ-UBND 10/9/2020</t>
  </si>
  <si>
    <t>1003/QĐ-UBND 03/8/2016; 37/QĐ-UBND 10/01/2018</t>
  </si>
  <si>
    <t>Tưới 251 ha lúa và 287 ha hoa màu</t>
  </si>
  <si>
    <t>863/QĐ-UBND  28/5/2021</t>
  </si>
  <si>
    <t>Kè 1346m</t>
  </si>
  <si>
    <t>865/QĐ-UBND 28/5/2021</t>
  </si>
  <si>
    <t>Kè 3034m</t>
  </si>
  <si>
    <t>864/QĐ-UBND 28/5/2021</t>
  </si>
  <si>
    <t>1327/QĐ-UBND 29/12/2017</t>
  </si>
  <si>
    <t xml:space="preserve"> 981/QĐ-TTg ngày 15/8/2022</t>
  </si>
  <si>
    <t>1047/QĐ-UBND 3/7/2023</t>
  </si>
  <si>
    <t>702/QĐ-UBND 27/7/2011;413/QĐ-UBND 04/6/2014</t>
  </si>
  <si>
    <t>1,84 km</t>
  </si>
  <si>
    <t>1334/QĐ-UBND 9/12/2020</t>
  </si>
  <si>
    <t>1,63 km</t>
  </si>
  <si>
    <t>985/QĐ-UBND 31/5/2021</t>
  </si>
  <si>
    <t>9,8 km</t>
  </si>
  <si>
    <t>990/QĐ-UBND 31/5/2021</t>
  </si>
  <si>
    <t>4,6 km</t>
  </si>
  <si>
    <t>988/QĐ-UBND 31/5/2021</t>
  </si>
  <si>
    <t>4,4 km</t>
  </si>
  <si>
    <t>1491/QĐ-UBND 30/12/2020</t>
  </si>
  <si>
    <t>3,1 km</t>
  </si>
  <si>
    <t>53/QĐ-UBND 14/01/2021</t>
  </si>
  <si>
    <t>3,4 km</t>
  </si>
  <si>
    <t xml:space="preserve"> 748/QĐ-UBND 19/5/2021</t>
  </si>
  <si>
    <t>3,0 km</t>
  </si>
  <si>
    <t>1365/QĐ-UBND 30/7/2021</t>
  </si>
  <si>
    <t>5,0 km</t>
  </si>
  <si>
    <t>1364/QĐ-UBND 30/7/2021</t>
  </si>
  <si>
    <t>4,0 km</t>
  </si>
  <si>
    <t>33/QĐ-UBND 08/01/2021</t>
  </si>
  <si>
    <t>Cầu 114m</t>
  </si>
  <si>
    <t>642/QĐ-UBND 08/4/2022</t>
  </si>
  <si>
    <t>Cầu 109m</t>
  </si>
  <si>
    <t>2180/QĐ-UBND 25/11/2022</t>
  </si>
  <si>
    <t>Cấp nước cho 8.500 người</t>
  </si>
  <si>
    <t xml:space="preserve"> 2064/QĐ-UBND 18/11/2021</t>
  </si>
  <si>
    <t>301 ngày 06/4/2011; 545/QĐ-UBND 05/7/2018; 568/QĐ-UBND 16/6/2020</t>
  </si>
  <si>
    <t>3044/QĐ-UBND 24/11/2021</t>
  </si>
  <si>
    <t>2154QĐ-UBND 24/11/2022</t>
  </si>
  <si>
    <t>3052/QĐ-UBND 25/11/2021</t>
  </si>
  <si>
    <t>2789/QĐ-UBND 21/8/2023</t>
  </si>
  <si>
    <t>1077/QĐ-UBND 29/10/2019; 1725/QĐ-UBND 23/9/2021; 730/QĐ-UBND 28/4/2022</t>
  </si>
  <si>
    <t>Kè 738m</t>
  </si>
  <si>
    <t>859/QĐ-UBND ngày 28/5/2021</t>
  </si>
  <si>
    <t>Kè 820m</t>
  </si>
  <si>
    <t>1705/QĐ-UBND 17/9/2021</t>
  </si>
  <si>
    <t>1,4 km</t>
  </si>
  <si>
    <t>0,4 km</t>
  </si>
  <si>
    <t>3388/QĐ-UBND 31/12/2021</t>
  </si>
  <si>
    <t>3135/QĐ-UBND 29/11/2021</t>
  </si>
  <si>
    <t>6,6 km</t>
  </si>
  <si>
    <t>3140/QĐ-UBND 30/11/2021</t>
  </si>
  <si>
    <t>3142/QĐ-UBND 30/11/2021</t>
  </si>
  <si>
    <t>6 tầng</t>
  </si>
  <si>
    <t>1104/QĐ-UBND ngày 29/10/2019</t>
  </si>
  <si>
    <t>5 tầng</t>
  </si>
  <si>
    <t>310/QĐ-UBND ngày 11/4/2019; 1072/QĐ-UBND ngày 19/10/2020</t>
  </si>
  <si>
    <t>3 tầng</t>
  </si>
  <si>
    <t>629/QĐ-UBND 28/4/2021</t>
  </si>
  <si>
    <t>3071/QĐ-UBND 29/11/2021; 495/QĐ-UBND 30/3/2023</t>
  </si>
  <si>
    <t>1103/QĐ-UBND 23/6/2021</t>
  </si>
  <si>
    <t>1102/QĐ-UBND 23/6/2021</t>
  </si>
  <si>
    <t>1826/QĐ-UBND 07/10/2021</t>
  </si>
  <si>
    <t>3072/QĐ-UBND 29/11/2021</t>
  </si>
  <si>
    <t>1656/QĐ-UBND 9/9/2021</t>
  </si>
  <si>
    <t>300 chỗ</t>
  </si>
  <si>
    <t>1791/QĐ-UBND 01/10/2021; 927/QĐ-UBND 07/6/2023</t>
  </si>
  <si>
    <t>2037/QĐ-UBND 04/11/2022</t>
  </si>
  <si>
    <t>613/QĐ-UBND ngày 29/6/2020</t>
  </si>
  <si>
    <t>DTXD: 1.107m2</t>
  </si>
  <si>
    <t>2093/QĐ-UBND 18/11/2021</t>
  </si>
  <si>
    <t>841/QĐ-UBND ngày 24/8/2020</t>
  </si>
  <si>
    <t>666/QĐ-UBND, 09/7/2019</t>
  </si>
  <si>
    <t>499/QĐ-UBND, 04/6/2019</t>
  </si>
  <si>
    <t>1372/QĐ-UBND, 31/12/2019; 1064/QĐ-UBND, 19/10/2020</t>
  </si>
  <si>
    <t>1371/QĐ-UBND, 31/12/2019</t>
  </si>
  <si>
    <t>DTXD: 563m2</t>
  </si>
  <si>
    <t>567/QĐ-UBND 17/7/2018</t>
  </si>
  <si>
    <t>06 phòng học</t>
  </si>
  <si>
    <t>1070/QĐ-UBND 29/10/2019</t>
  </si>
  <si>
    <t>760/QĐ-UBND 08/8/2019</t>
  </si>
  <si>
    <t>16 PH 
+ 500 chỗ</t>
  </si>
  <si>
    <t>911/QĐ-UBND 04/10/2017</t>
  </si>
  <si>
    <t>1604/QĐ-UBND 30/10/2017; 1032/QĐ-UBND 24/10/2019</t>
  </si>
  <si>
    <t>993/QĐ-UBND 30/10/2018</t>
  </si>
  <si>
    <t>3018/QĐ-UBND 22/11/2021</t>
  </si>
  <si>
    <t>2999/QĐ-UBND 18/11/2021</t>
  </si>
  <si>
    <t>343m2</t>
  </si>
  <si>
    <t>2050/QĐ-UBND 12/11/2021</t>
  </si>
  <si>
    <t>2058/QĐ-UBND 09/11/2022</t>
  </si>
  <si>
    <t>2146/QĐ-UBND 22/11/2022</t>
  </si>
  <si>
    <t>DTXD: 226m2</t>
  </si>
  <si>
    <t>1076/QĐ-UBND 29/10/2019</t>
  </si>
  <si>
    <t>DTXD: 221m2</t>
  </si>
  <si>
    <t>2091/QĐ-UBND 18/11/2021</t>
  </si>
  <si>
    <t>DTXD: 412m2</t>
  </si>
  <si>
    <t xml:space="preserve">3003/QĐUBND 19/11/2021 </t>
  </si>
  <si>
    <t>DTXD: 117m2</t>
  </si>
  <si>
    <t xml:space="preserve">2092/QĐUBND 19/11/2021  </t>
  </si>
  <si>
    <t>DTXD: 234m2</t>
  </si>
  <si>
    <t xml:space="preserve">3004/QĐUBND 19/11/2021  </t>
  </si>
  <si>
    <t>CTSC</t>
  </si>
  <si>
    <t xml:space="preserve">2036/QĐUBND 04/11/2022  </t>
  </si>
  <si>
    <t>3001/QĐ-UBND 19/11/2021</t>
  </si>
  <si>
    <t>DTXD: 121m2</t>
  </si>
  <si>
    <t xml:space="preserve">3002/QĐUBND 19/11/2021  </t>
  </si>
  <si>
    <t>CT, SC; HMPT</t>
  </si>
  <si>
    <t xml:space="preserve">1921/QĐUBND 14/10/2022  </t>
  </si>
  <si>
    <t>CT, SC các khoa phong</t>
  </si>
  <si>
    <t xml:space="preserve">2089/QĐUBND 19/11/2021  </t>
  </si>
  <si>
    <t>DTXD: 176m2</t>
  </si>
  <si>
    <t>2090/QĐUBND 18/11/2021</t>
  </si>
  <si>
    <t xml:space="preserve">1884/QĐUBND 10/10/2022  </t>
  </si>
  <si>
    <t>719/QĐ-UBND 10/04/2024</t>
  </si>
  <si>
    <t>724/QĐ-UBND 11/04/2024</t>
  </si>
  <si>
    <t>718/QĐ-UBND 10/04/2024</t>
  </si>
  <si>
    <t>Công trình công cộng tại các đô thị, hạ tầng kỹ thuật khu đô thị mới</t>
  </si>
  <si>
    <t>1499/QĐ-UBND 14/9/2023</t>
  </si>
  <si>
    <t>Cấp nước cho 432 người</t>
  </si>
  <si>
    <t>1678/ QĐ-UBND ngày 14/9/2021</t>
  </si>
  <si>
    <t>1650/ QĐ-UBND ngày  08/9/2021</t>
  </si>
  <si>
    <t>1117/QĐ-UBND ngày 30/6/2022</t>
  </si>
  <si>
    <t>77/QĐ-UBND 16/1/2024</t>
  </si>
  <si>
    <t>LG CTMTQG</t>
  </si>
  <si>
    <t>1123 /QĐ-UBND ngày 30/6/ 2022</t>
  </si>
  <si>
    <t>1124 /QĐ-UBND ngày 30/6/ 2022</t>
  </si>
  <si>
    <t>Tuần giáo</t>
  </si>
  <si>
    <t>Chưa bố trí vốn TH</t>
  </si>
  <si>
    <t>Quy hoạch bảo quản, tu bổ, phục hồi di tích lịch sử Quốc gia đặc biệt chiến trường Điện Biên Phủ</t>
  </si>
  <si>
    <t>2204/QĐ-UBND 02/12/2022; 842/QĐ-UBND 02/5/2024</t>
  </si>
  <si>
    <t>H. Điện Biên</t>
  </si>
  <si>
    <t>1301/QĐ-UBND 22/7/2024</t>
  </si>
  <si>
    <t xml:space="preserve"> Cải tạo, nâng cấp cơ sở vật chất Trường THPT chuyện Lê Quý Đôn</t>
  </si>
  <si>
    <t>1.477,56m</t>
  </si>
  <si>
    <t>1.714,35m</t>
  </si>
  <si>
    <t>1.660,54m</t>
  </si>
  <si>
    <t>Trả lãi vay</t>
  </si>
  <si>
    <t>- Vốn trong nước</t>
  </si>
  <si>
    <t>- Vốn nước ngoài</t>
  </si>
  <si>
    <t>Tên đơn vị</t>
  </si>
  <si>
    <t>Số Văn bản</t>
  </si>
  <si>
    <t>Ngày PH VB</t>
  </si>
  <si>
    <t>Ngày nhận VB</t>
  </si>
  <si>
    <t>1255/QĐ-UBND 10/8/2023</t>
  </si>
  <si>
    <t>Sở Nội vụ</t>
  </si>
  <si>
    <t>1572/SNV-VP</t>
  </si>
  <si>
    <t>Ko có nhu cầu 26-30</t>
  </si>
  <si>
    <t>2100/BC-SLĐTBXH</t>
  </si>
  <si>
    <t>Sở Lao động TBXH</t>
  </si>
  <si>
    <t>922/BC-CĐKTKT</t>
  </si>
  <si>
    <t xml:space="preserve">Trường Cao đẳng Kinh tế Kỹ Thuật tỉnh Điện Biên </t>
  </si>
  <si>
    <t>Ghi chú nhu cầu 26-30</t>
  </si>
  <si>
    <t xml:space="preserve">Văn phòng-Tỉnh uỷ Điện Biên </t>
  </si>
  <si>
    <t>308-BC/VPTU</t>
  </si>
  <si>
    <t>Đề xuất 1 dự án NSĐP nhưng k có thuyết minh dự án</t>
  </si>
  <si>
    <t xml:space="preserve">Trường Cao đẳng Sư Phạm </t>
  </si>
  <si>
    <t>637/BC-CĐSP</t>
  </si>
  <si>
    <t>Đề xuất 1 dự án vốn XSKT nhưng k có thuyết minh dự án</t>
  </si>
  <si>
    <t>2461/BC-SGDĐT</t>
  </si>
  <si>
    <t xml:space="preserve">Sở Giáo dục và Đào tạo </t>
  </si>
  <si>
    <t xml:space="preserve">Ban QLDA các công trình DD&amp;CN </t>
  </si>
  <si>
    <t>523/BC-BQLDA</t>
  </si>
  <si>
    <t xml:space="preserve">Trường Cao đẳng nghề tỉnh Điện Biên </t>
  </si>
  <si>
    <t>807/BC-TRCĐN</t>
  </si>
  <si>
    <t xml:space="preserve">Sở Xây dựng </t>
  </si>
  <si>
    <t>1823/BC-SXD</t>
  </si>
  <si>
    <t>535/BC-UBND</t>
  </si>
  <si>
    <t xml:space="preserve">Huyện Mường Nhé </t>
  </si>
  <si>
    <t>NSĐP cấp huyện 175.400. NSTW đề xuất nâng cấp tất cả các trường trên địa bàn gộp thành 3 dự án lớn</t>
  </si>
  <si>
    <t xml:space="preserve">Sở Khoa học công nghệ </t>
  </si>
  <si>
    <t>1097/KH-SKHCN</t>
  </si>
  <si>
    <t xml:space="preserve">Sở Công Thương </t>
  </si>
  <si>
    <t>1560/SCT-KHTC</t>
  </si>
  <si>
    <t xml:space="preserve">Bộ chỉ huy Bộ đội Biên phòng tỉnh </t>
  </si>
  <si>
    <t>3039/BCH-HCKT</t>
  </si>
  <si>
    <t>NSĐp 3 dự án</t>
  </si>
  <si>
    <t>Đề xuất dự án ODA năm 2025 k biết lấy số liệu vốn từ đâu</t>
  </si>
  <si>
    <t>Đề xuất 1 dự án NSĐP (xem lại có thuộc đối tượng đầu tư công không)</t>
  </si>
  <si>
    <t>Sở Giao Thông Vận Tải</t>
  </si>
  <si>
    <t>2172/SGTVT-KHTC</t>
  </si>
  <si>
    <t>Đề xuất có 1 đường tên gần giống với của Mường Nhé</t>
  </si>
  <si>
    <t xml:space="preserve">Huyện Điện Biên </t>
  </si>
  <si>
    <t>472/BC-UBND</t>
  </si>
  <si>
    <t>TỔNG HỢP CÁC ĐƠN VỊ GỬI BÁO CÁO</t>
  </si>
  <si>
    <t>Đã tổng hợp nhu cầu NSĐP, NSTW, ODA các đơn vị trong danh sách</t>
  </si>
  <si>
    <t>3 dự án nhóm C đề xuất vốn NSTW ko tổng hợp: Đường nộ thị gđIII (58 tỷ); sắp xếp dân cư Na sang (31 tỷ), kè tân ngam (33 tỷ)</t>
  </si>
  <si>
    <t xml:space="preserve">Thị xã Mường Lay </t>
  </si>
  <si>
    <t>690/BC-UBND</t>
  </si>
  <si>
    <t>Ko có cơ sở tính toán các dự án KCM NSTW</t>
  </si>
  <si>
    <t>2806/BC-UBND</t>
  </si>
  <si>
    <t>1 dự án NSTW nhóm C ko tổng hợp: Cầu nậm hằng (60 tỷ)</t>
  </si>
  <si>
    <t>234/KH-SYT</t>
  </si>
  <si>
    <t>Bộ chỉ huy quân sự tỉnh</t>
  </si>
  <si>
    <t>1688/BC-BCH</t>
  </si>
  <si>
    <t>Đài phát thanh truyền hình</t>
  </si>
  <si>
    <t>588/KH-PTTH</t>
  </si>
  <si>
    <t xml:space="preserve">Huyện Tuần Giáo </t>
  </si>
  <si>
    <t>448/BC-UBND</t>
  </si>
  <si>
    <t>02 dự án NSTW nhóm C ko tổng hợp: Chốt dân quân (20 tỷ); Kè bản chăn+bản nôm (20 tỷ)</t>
  </si>
  <si>
    <t>1540/BQLDA-KHKT&amp;CBDA</t>
  </si>
  <si>
    <t xml:space="preserve">Ban quản lý dự án các công trình nông nghiệp và phát triển nông thôn </t>
  </si>
  <si>
    <t>Báo cáo 21-25 sơ sài. Dự án KCM ko có thuyết minh gì. Đề xuất ODA k nêu cơ sở gì, bên nào tài trợ</t>
  </si>
  <si>
    <t>415/BC-UBND</t>
  </si>
  <si>
    <t>NSTW: Hạ tầng xã Mường báng nằm trong 20 danh mục định trình Bộ KHĐT cbđt (tăng TMĐT lên 210 tỷ). 02 dự án Hồ Nậm seo, chiếu tinh trùng với đề xuất nhu cầu của Ban NN
- Vốn Oda đề xuất nhưng không có cơ sở gì, k biết bên nào tài trợ</t>
  </si>
  <si>
    <t xml:space="preserve">Trường Chính trị tỉnh Điện Biên </t>
  </si>
  <si>
    <t>327//BC-TCT</t>
  </si>
  <si>
    <t>NSĐP Đề xuất dự án tiếp chi: Nhà lớp học 7 tầng</t>
  </si>
  <si>
    <t>Công an tỉnh</t>
  </si>
  <si>
    <t>Đề xuất 02 dự án NSTW 26-30. Dự án TT dịch vụ việc làm 35 tỷ không đủ nhóm B chuyển sang NSĐP</t>
  </si>
  <si>
    <t>467/BC-UBND</t>
  </si>
  <si>
    <t xml:space="preserve"> 12/09/2024</t>
  </si>
  <si>
    <t>Không đề xuất phần NS ĐP cấp huyện quản lý, đang đưa tất cả lên NS ĐP cấp tỉnh</t>
  </si>
  <si>
    <t>Sở Nông nghiệp và phát triển Nông thôn</t>
  </si>
  <si>
    <t>230/KH-UBND</t>
  </si>
  <si>
    <t xml:space="preserve"> 13/09/2024</t>
  </si>
  <si>
    <t>NSTW ko tổng hợp dự án điện bừng sáng đb</t>
  </si>
  <si>
    <t>Sở Văn hóa - Thể thao - Du lịch</t>
  </si>
  <si>
    <t>2446/BC-SVHTTDL</t>
  </si>
  <si>
    <t>chuyển 1 dự án NSĐP, 1 XSKT theo cuộc họp. 2 dự án CTMTQG</t>
  </si>
  <si>
    <t>Thành phố Điện Biên Phủ</t>
  </si>
  <si>
    <t>452/BC-UBND</t>
  </si>
  <si>
    <t>Đề xuất dự án ODA k thấy có cơ sở gì. K có thuyết minh dự án KCM (bản đổi lại ngày 24/9)</t>
  </si>
  <si>
    <t xml:space="preserve"> 2523/BC-SVHTTDL bản gửi lại 24/9</t>
  </si>
  <si>
    <t>Ban quản lý các công trình Giao Thông</t>
  </si>
  <si>
    <t>1303/BC-BCTGT</t>
  </si>
  <si>
    <t>Vb hoàn chỉnh lại 1782 BCH ngày 23/9/2024</t>
  </si>
  <si>
    <t>VB hoàn chỉnh lại 860 ngày 20/9/2024</t>
  </si>
  <si>
    <t>2269/SNN-KHTC</t>
  </si>
  <si>
    <t>Vb hoàn thiện gửi lại</t>
  </si>
  <si>
    <t>3318/CAT-PH10</t>
  </si>
  <si>
    <t xml:space="preserve">	425/BC-UBND</t>
  </si>
  <si>
    <t>Cả CT phục hồi là 65</t>
  </si>
  <si>
    <t>Quyết định số 1123 /QĐ-UBND ngày 30/6/ 2022</t>
  </si>
  <si>
    <t>TP Điện Biên Phủ</t>
  </si>
  <si>
    <t>4</t>
  </si>
  <si>
    <t>5</t>
  </si>
  <si>
    <t>6</t>
  </si>
  <si>
    <t>7</t>
  </si>
  <si>
    <t>8</t>
  </si>
  <si>
    <t>9</t>
  </si>
  <si>
    <t>10</t>
  </si>
  <si>
    <t>11</t>
  </si>
  <si>
    <t>-</t>
  </si>
  <si>
    <t>Số 1715/QĐ-UBND ngày 18/9/2022</t>
  </si>
  <si>
    <t>984/QĐ-UBND 31/5/2021; 1816/QĐ-UBND 06/10/2021; 1728/QĐ-UBND 23/9/2024</t>
  </si>
  <si>
    <t>669/QĐ-UBND 20/4/2023; 1678/QĐ-UBND 13/9/2024</t>
  </si>
  <si>
    <t xml:space="preserve"> 39/NQ-HĐND ngày 22/8/2021</t>
  </si>
  <si>
    <t>1227/QĐ-UBND 04/8/2023</t>
  </si>
  <si>
    <t>1226/QĐ-UBND 04/8/2023</t>
  </si>
  <si>
    <t>669/QĐ-UBND 20/4/2023; 1678/QĐ-UBND ngày 13/9/2024</t>
  </si>
  <si>
    <t xml:space="preserve"> Trại thực nghiệm và sản xuất giống thuỷ sản tỉnh Điện Biên</t>
  </si>
  <si>
    <t xml:space="preserve"> Di dời công trình hạ tầng kỹ thuật, giải phóng, tạo mặt bằng sạch phục vụ dự án tổng thể "Phát triển cơ sở hạ tầng du lịch hỗ trợ cho tăng trưởng toàn diện khu vực tiểu vùng Mê công mở rộng tỉnh Điện Biên"</t>
  </si>
  <si>
    <t xml:space="preserve"> Trụ sở làm việc Công an các xã: Núa Ngam, Noong Hẹt, Noong Luống, Thanh An thuộc huyện Điện Biên và Công an xã Chiềng Sơ thuộc huyện Điện Biên Đông, tỉnh Điện Biên</t>
  </si>
  <si>
    <t xml:space="preserve"> Trụ sở làm việc Công an các xã: Rạng Đông, Nà Tòng, Phình Sáng, Pú Nhung, Tênh Phông thuộc huyện Tuần Giáo, tỉnh Điện Biên</t>
  </si>
  <si>
    <t xml:space="preserve"> Trụ sở làm việc Công an các xã: Sá Tổng, Huổi Lèng, Hừa Ngài, Huổi Mí thuộc huyện Mường Chà, tỉnh Điện Biên</t>
  </si>
  <si>
    <t xml:space="preserve"> Trụ sở làm việc Công an các xã: Chiềng Đông, Chiềng Sinh, Quài Cang, Quài Nưa thuộc huyện Tuần Giáo, tỉnh Điện Biên</t>
  </si>
  <si>
    <t xml:space="preserve"> Trụ sở làm việc Công an các xã: Toả Tình, Mường Khong, Nà Sáy, Mường Mùn, Pú Xi thuộc huyện Tuần Giáo, tỉnh Điện Biên</t>
  </si>
  <si>
    <t>Trụ sở làm việc Công an xã Nậm Khăn thuộc huyện Nậm Pồ, Công an xã Chung Chải thuộc huyện Mường Nhé và Công an các xã: Sín Chải, Lao Xả Phình thuộc huyện Tủa Chùa, tỉnh Điện Biên</t>
  </si>
  <si>
    <t>Trụ sở làm việc công an xã Nà Nhạn thuộc thành phố Điện Biên Phủ, Công an xã Pú Hồng thuộc huyện Điện Biên Đông và Công an các xã: Hẹ Muông, Sam Mứn thuộc huyện Điện Biên, tỉnh Điện Biên</t>
  </si>
  <si>
    <t xml:space="preserve">Trụ sở làm việc Công an các xã:  Tả Phìn, Huổi Só, Sính Phình, Trung Thu thuộc huyện Tủa Chùa, tỉnh Điện Biên </t>
  </si>
  <si>
    <t>Trụ sở làm việc Công an các xã: Keo Lôm, Na Son, Noong U, Tìa Dình, Xa Dung thuộc huyện Điện Biên Đông, tỉnh Điện Biên</t>
  </si>
  <si>
    <t xml:space="preserve"> Xây dựng, cải tạo và sửa chữa Đội Cảnh sát PCCC và CNCH khu vực thị xã Mường Lay</t>
  </si>
  <si>
    <t xml:space="preserve">  Đầu tư mua sắm trang bị, phương tiện phòng cháy, chữa cháy và cứu nạn, cứu hộ cho Công an tỉnh Điện Biên</t>
  </si>
  <si>
    <t>1590/QĐ-UBND ngày 30/8/2024</t>
  </si>
  <si>
    <t>1596/QĐ-UBND ngày 30/8/2024</t>
  </si>
  <si>
    <t>1597/QĐ-UBND ngày 30/8/2024</t>
  </si>
  <si>
    <t>1594/QĐ-UBND ngày 30/8/2024</t>
  </si>
  <si>
    <t>1595/QĐ-UBND ngày 30/8/2024</t>
  </si>
  <si>
    <t>1592/QĐ-UBND ngày 30/8/2024</t>
  </si>
  <si>
    <t>1591/QĐ-UBND ngày 30/8/2024</t>
  </si>
  <si>
    <t>1589/QĐ-UBND ngày 30/8/2024</t>
  </si>
  <si>
    <t>1593/QĐ-UBND ngày 30/8/2024</t>
  </si>
  <si>
    <t xml:space="preserve"> 1521/QĐ-UBND ngày 19/8/2024</t>
  </si>
  <si>
    <t xml:space="preserve"> 1520/QĐ-UBND ngày 19/8/2024</t>
  </si>
  <si>
    <t>Cải tạo, nâng cấp trường THCS xã Thanh Chăn, huyện Điện Biên</t>
  </si>
  <si>
    <t xml:space="preserve">Cải tạo, nâng cấp trường phổ thông dân tộc bán trú tiểu học số 2 xã Na Tông, huyện Điện Biên </t>
  </si>
  <si>
    <t>Cải tạo, nâng cấp trường THCS xã Thanh Luông, huyện Điện Biên</t>
  </si>
  <si>
    <t>Cải tạo, nâng cấp trường mầm non số 2 Na Tông, huyện Điện Biên</t>
  </si>
  <si>
    <t>Cải tạo, nâng cấp trường tiểu học và trung học cơ sở xã Sam Mứn, huyện Điện Biên</t>
  </si>
  <si>
    <t>1884/QĐ-UBND ngày 18/10/2024</t>
  </si>
  <si>
    <t>1883/QĐ-UBND ngày 18/10/2024</t>
  </si>
  <si>
    <t>1882/QĐ-UBND ngày 18/10/2024</t>
  </si>
  <si>
    <t>1881/QĐ-UBND ngày 18/10/2024</t>
  </si>
  <si>
    <t>1880/QĐ-UBND ngày 18/10/2024</t>
  </si>
  <si>
    <t xml:space="preserve">Bổ sung, nâng cấp Trường THCS Võ Nguyên Giáp xã Pá Khoang </t>
  </si>
  <si>
    <t xml:space="preserve"> Bổ sung, nâng cấp trường THCS xã Nà Tấu</t>
  </si>
  <si>
    <t>3389/QĐ-UBND 31/12/2021</t>
  </si>
  <si>
    <t>3206/QĐ-UBND 10/12/2021</t>
  </si>
  <si>
    <t>Cầu, đường từ khu trung tâm huyện sang khu tái định cư và Trường PTDTNT THPT Nậm Pồ, huyện Nậm Pồ</t>
  </si>
  <si>
    <t xml:space="preserve"> Đường giao thông bản Háng Mùa Lừ kết nối với trục đường đến trung tâm xã Sá Tổng, huyện Mường Chà</t>
  </si>
  <si>
    <t xml:space="preserve"> Đường nội thị giai đoạn 3 huyện Điện Biên</t>
  </si>
  <si>
    <t xml:space="preserve"> Nâng cấp đường giao thông từ bản Nậm Pó - bản Huổi Hạ, xã Na Sang</t>
  </si>
  <si>
    <t>Quyét định số 1939/QĐ-UBND ngày 28/10/2024</t>
  </si>
  <si>
    <t>Quyét định số 1940/QĐ-UBND ngày 28/10/2024</t>
  </si>
  <si>
    <t xml:space="preserve"> Cải tạo, nâng cấp đoạn tuyến quy
hoạch Quốc lộ 12D, tỉnh Điện Biên</t>
  </si>
  <si>
    <t xml:space="preserve"> 145/NQ-HĐND ngày 14/7/2023</t>
  </si>
  <si>
    <t xml:space="preserve"> Mở rộng nghĩa trang nhân dân C1, xã Thanh Luông, huyện Điện Biên</t>
  </si>
  <si>
    <t>1941/QĐ-UBND ngày 28/10/2024</t>
  </si>
  <si>
    <t xml:space="preserve"> Trụ sở làm việc Ban quản lý dự án các công trình huyện Điện Biên</t>
  </si>
  <si>
    <t>1942/QĐ-UBND ngày 28/10/2024</t>
  </si>
  <si>
    <t xml:space="preserve"> Các hạng mục phụ trợ cơ sở làm việc Công an các xã thuộc Công an huyện Mường Ảng, tỉnh Điện Biên</t>
  </si>
  <si>
    <t xml:space="preserve"> Các hạng mục phụ trợ cơ sở làm việc Công an các xã thuộc Công an các huyện Điện Biên, Điện Biên Đông, tỉnh Điện Biên</t>
  </si>
  <si>
    <t xml:space="preserve"> Các hạng mục phụ trợ cơ sở làm việc Công an các xã thuộc Công an các huyện Tủa Chùa, Tuần Giáo và Thành phố Điện Biên Phủ, tỉnh Điện Biên</t>
  </si>
  <si>
    <t xml:space="preserve"> Các hạng mục phụ trợ cơ sở làm việc Công an các xã thuộc Công an các huyện Mường Chà, Nậm Pồ và Thị xã Mường Lay, tỉnh Điện Biên</t>
  </si>
  <si>
    <t>Tổng 2021 đến 2024</t>
  </si>
  <si>
    <t>Năm 2025 còn lại</t>
  </si>
  <si>
    <t xml:space="preserve"> 1381/QĐ-CAT-PH10 ngày 18/5/2024</t>
  </si>
  <si>
    <t xml:space="preserve"> 1383/QĐ-CAT-PH10 ngày 18/5/2024</t>
  </si>
  <si>
    <t xml:space="preserve"> 1382/QĐ-CAT-PH10 ngày 18/5/2024</t>
  </si>
  <si>
    <t xml:space="preserve"> 1384/QĐ-CAT-PH10 ngày 18/5/2024</t>
  </si>
  <si>
    <t>1203/QĐ-UBND 02/7/2024</t>
  </si>
  <si>
    <t>hết nhu cầu</t>
  </si>
  <si>
    <t>1882/QĐ-UBND 20/11/2023</t>
  </si>
  <si>
    <t>1995/QĐ-UBND 6/11/2024</t>
  </si>
  <si>
    <t>1878/QĐ-UBND 18/10/2024</t>
  </si>
  <si>
    <t>2046/QĐ-UBND 12/11/2024</t>
  </si>
  <si>
    <t>2086a/QĐ-UBND 15/11/2024</t>
  </si>
  <si>
    <t>2066/QĐ-UBND 14/11/2024</t>
  </si>
  <si>
    <t>2072/QĐ-UBND 15/11/2024</t>
  </si>
  <si>
    <t xml:space="preserve"> 749a/QĐ-UBND 30/7/2020; 1481a/QĐ-UBND 29/12/2020; 1700/QĐ-UBND 15/9/2022; 92/NQ-HĐND ngày 16/6/2022</t>
  </si>
  <si>
    <t xml:space="preserve"> 93/NQ-HĐND ngày 16/6/2022</t>
  </si>
  <si>
    <t>còn 15525 chưa phân bổ</t>
  </si>
  <si>
    <t>Thanh toán dứt điểm theo nhu cầu của CĐT</t>
  </si>
  <si>
    <t>2322/QĐ-UBND, 20/12/2024</t>
  </si>
  <si>
    <t>Kế hoạch trung hạn giai đoạn 2021-2025 được HĐND tỉnh thông qua</t>
  </si>
  <si>
    <t>Kế hoạch vốn hằng năm HĐND tỉnh giao</t>
  </si>
  <si>
    <t>Điều chỉnh kế hoạch trung hạn giai đoạn 2021-2025</t>
  </si>
  <si>
    <t>Tăng</t>
  </si>
  <si>
    <t>Giảm</t>
  </si>
  <si>
    <t>Kế hoạch trung hạn giai đoạn 2021-2025 sau điều chỉnh</t>
  </si>
  <si>
    <t>Kế hoạch 5 năm giai đoạn 2021-2025 đã được giao</t>
  </si>
  <si>
    <t>Điều chỉnh kế hoạch trung hạn 2021-2025</t>
  </si>
  <si>
    <t>Kế hoạch vốn hằng năm đã được giao</t>
  </si>
  <si>
    <t>Kế hoạch 5 năm giai đoạn 2021-2025 sau điều chỉnh</t>
  </si>
  <si>
    <t>ĐẦU TƯ TỪ NGUỒN THU SỬ DỤNG ĐẤT</t>
  </si>
  <si>
    <t>VỐN ĐẦU TƯ TRONG CÂN ĐỐI NGÂN SÁCH ĐỊA PHƯƠNG (BAO GỒM TIỀN ĐẤT THEO NQ 34)</t>
  </si>
  <si>
    <t>D</t>
  </si>
  <si>
    <t>VỐN ĐẦU TƯ TỪ NGUỒN BỘI CHI NSĐP</t>
  </si>
  <si>
    <t>Trả phí vay, lãi vay</t>
  </si>
  <si>
    <t>Năm 2025 (bao gồm dự kiến điều chỉnh)</t>
  </si>
  <si>
    <t>197/NQ-HĐND 4/11/2024</t>
  </si>
  <si>
    <t>Dự án chưa có QĐ đầu tư, cắt giảm KH trung hạn và năm 2025</t>
  </si>
  <si>
    <t>Dự án chưa có QĐ đầu tư, cắt giảm KH trung hạn và năm 2025. Thực hiện CBĐT</t>
  </si>
  <si>
    <t>Dự án không thực hiện được. Cắt giảm KH trung hạn và năm 2025</t>
  </si>
  <si>
    <t xml:space="preserve"> 2123/QĐ-UBND 22/12/2023</t>
  </si>
  <si>
    <t xml:space="preserve"> 2122/QĐ-UBND 22/12/2023</t>
  </si>
  <si>
    <t xml:space="preserve"> 2200/QĐ-UBND 29/12/2023</t>
  </si>
  <si>
    <t xml:space="preserve"> 2199/QĐ-UBND 29/12/2023</t>
  </si>
  <si>
    <t>481/QĐ-UBND ngày 5/3/2025</t>
  </si>
  <si>
    <t>Cắt giảm KH trung hạn và 2025 do sắp xếp ĐVHC</t>
  </si>
  <si>
    <t>Điều chỉnh vốn 2025 giao vượt trung hạn</t>
  </si>
  <si>
    <t>Tổng hợp các đơn vị gửi đề xuất</t>
  </si>
  <si>
    <t>Số VB</t>
  </si>
  <si>
    <t>Nội dung đề xuất</t>
  </si>
  <si>
    <t>Nội dung tổng hợp</t>
  </si>
  <si>
    <t xml:space="preserve">Đài phát thanh truyền hình tỉnh Điện Biên </t>
  </si>
  <si>
    <t>223/BC-PTTH 14/04/2025</t>
  </si>
  <si>
    <t>Duy tu sửa chữa tháp Anten truyền
hình cao 125m; đã xác định công nợ của dự án là: 73.411.949 đồng</t>
  </si>
  <si>
    <t>Bố trí xử lý công nợ sau quyết toán</t>
  </si>
  <si>
    <t>Điều chỉnh tăng KH trung hạn và tăng vốn 2025 thêm 74 trđ (lấy từ giảm 200tr KH 25 của dự án trụ sở ban QLDA huyện Đb)</t>
  </si>
  <si>
    <t xml:space="preserve">Sở Dân tộc và Tôn giáo </t>
  </si>
  <si>
    <t>153/SDTTg-CSDT 15/04/2025</t>
  </si>
  <si>
    <t>Không có nhu cầu</t>
  </si>
  <si>
    <t xml:space="preserve">Ban quản lý các công trình Giao Thông </t>
  </si>
  <si>
    <t>434/BC-BCTGT 15/04/2025</t>
  </si>
  <si>
    <t xml:space="preserve"> Đề xuất điều chỉnh tăng vốn NSĐP năm 2025: 1.350 triệu đồng cho dự án Nâng cấp tuyến đường từ bản Sen Thượng - Pa Ma -Lò San Chái (Tả Ló San), huyện Mường Nhé để thực hiện công tác chuẩn bị đầu tư; 2.500 triệu đồng cho dự án Nâng cấp đường giao thông QL6 - bản Xà Phình 1+2, xã Sá Tổng, huyện Mường Chà để thực hiện công tác chuẩn bị đầu tư.  giảm vốn NSĐP năm 2025 là 400 triệu đồng cho dự án Cầu Nà Khoa, huyện Nậm Pồ do dự án hết nhiệm vụ chi</t>
  </si>
  <si>
    <t>Hết nhu cầu</t>
  </si>
  <si>
    <t>2 dự án pa ma -lo san chai, QL6 xa phình đã bố trí vốn CBĐT năm 2024 rồi, k bố trí tiếp vốn CBĐT nữa. Dự án chuyển sang GĐ 26-30. Tổng hợp nhu cầu giảm 400tr</t>
  </si>
  <si>
    <t>212/BQLDA-HCTH</t>
  </si>
  <si>
    <t>- Đề xuất giảm dự án Nhà máy nước Tủa chùa 633tr và trường HN ĐBP 3522tr</t>
  </si>
  <si>
    <t>Nhất trí tổng hợp, lấy vốn bố trí cho dự án của Sở Khoa học</t>
  </si>
  <si>
    <t>Sửa chữa, nâng cấp Trường Tiểu học Hà Nội - Điện Biên Phủ</t>
  </si>
  <si>
    <t xml:space="preserve">Trường Cao đẳng Sư phạm </t>
  </si>
  <si>
    <t>234/CĐSP-TCHCTH</t>
  </si>
  <si>
    <t>Giảm 31tr dự án Bổ sung csvc trường cđ sp (hết nhu cầu)</t>
  </si>
  <si>
    <t>Nhất trí tổng hợp</t>
  </si>
  <si>
    <t xml:space="preserve"> Cải tạo, nâng cấp Trường Tiểu học Nam Thanh, thành phố Điện Biên Phủ</t>
  </si>
  <si>
    <t xml:space="preserve">Sở Khoa học và Công nghệ </t>
  </si>
  <si>
    <t>414/SKHCN-VP</t>
  </si>
  <si>
    <t>Đề nghị bố trí đủ TMĐT cho 2 dự án Xây dựng phòng thí nghiệm, thử nghiệm và dự án Đầu tư thiết bị Trung tâm Kỹ thuật Tiêu chuẩn Đo lường Chất
lượng tỉnh Điện Biên</t>
  </si>
  <si>
    <t>Chỉ cân đối bố trí đc theo kế hoạch trung hạn đã phê duyệt, chuyển tiếp sang GĐ 26-30</t>
  </si>
  <si>
    <t xml:space="preserve">UBND Huyện Mường Nhé </t>
  </si>
  <si>
    <t xml:space="preserve">	639/TTr-UBND</t>
  </si>
  <si>
    <t>Không đề nghị điều chỉnh NSĐp</t>
  </si>
  <si>
    <t xml:space="preserve">	UBND huyện Tuần Giáo </t>
  </si>
  <si>
    <t>641/UBND-TCKH</t>
  </si>
  <si>
    <t>Đề nghị tăng phần vốn 30% huyện quản lý năm 2025</t>
  </si>
  <si>
    <t>Phần này bị cắt chung do Kh 25 k đủ. Giảm cả trung hạn</t>
  </si>
  <si>
    <t xml:space="preserve">	651/SCT-KHTCTH</t>
  </si>
  <si>
    <t>Đề nghị tăng 36tr cho dự án Quy hoạch1/500 cụm công nghiệp Ảng tở để xử lý công nợ sau quyết toán</t>
  </si>
  <si>
    <t xml:space="preserve">	Sở Y Tế tỉnh Điện Biên </t>
  </si>
  <si>
    <t>987/SYT-KHTC</t>
  </si>
  <si>
    <t>Đề nghi tăng 630tr dự án Cải tạo, nâng cấp Trung tâm y tế huyện Điện Biên Đông</t>
  </si>
  <si>
    <t xml:space="preserve">Sở Nông nghiệp và Môi trường </t>
  </si>
  <si>
    <t>722/SNNMT-KHTC</t>
  </si>
  <si>
    <t>723/SXD-KHTC</t>
  </si>
  <si>
    <t xml:space="preserve">UBND Huyện Mường Ảng </t>
  </si>
  <si>
    <t>146/BC-UBND</t>
  </si>
  <si>
    <t>Đề nghị bổ sung phần vốn NS huyện Qly để bố trí cho dự án Kè tin tốc và bố trí đủ vốn theo TMĐt cho dự án chợ MA</t>
  </si>
  <si>
    <t>Đã bổ trí đủ vốn KH trung hạn, k có nguồn điều chỉnh tăng</t>
  </si>
  <si>
    <t>508/BQLDA-KHKT&amp;CBDA</t>
  </si>
  <si>
    <t>đề nghị bố trí tăng 3260tr cho dự án kè búng Lao</t>
  </si>
  <si>
    <t>năm 2025 đã bố trí 23,6 tỷ (đủ trung hạn) mới giải ngân đc có 1,6 tỷ. Điều chỉnh đợt cuối năm nếu giải ngân đc</t>
  </si>
  <si>
    <t>1080/SGDĐT-KHTC</t>
  </si>
  <si>
    <t>Giảm 791tr của 2 dự án hết nhu cầu để bố trí cho 1 dự án mới PTDTNT Mương Nhé mới có chủ trương đầu tư</t>
  </si>
  <si>
    <t>Cải tạo, sửa chữa và bổ sung cơ sở vật chất Trường PTDTNT THPT Mường Nhé</t>
  </si>
  <si>
    <t>Chuyển lên vốn thu từ đất</t>
  </si>
  <si>
    <t>Đơn vị: Triệu đồng</t>
  </si>
  <si>
    <t>Thời gian KC-HT</t>
  </si>
  <si>
    <t>Đã bố trí vốn đến hết KH năm 2024</t>
  </si>
  <si>
    <t>KH đầu tư trung hạn vốn NSĐP giai đoạn 2021-2025</t>
  </si>
  <si>
    <t>Kế hoạch 2025</t>
  </si>
  <si>
    <t>Số quyết định ngày, tháng, năm ban hành</t>
  </si>
  <si>
    <t>Kế hoạch</t>
  </si>
  <si>
    <t>Giải ngân từ 1/1/2024 đến 31/5/2024</t>
  </si>
  <si>
    <t>Giải ngân từ 1/1/2024 đến 30/6/2024</t>
  </si>
  <si>
    <t>Ước giải ngân từ 1/1/2024 đến 31/12/2024</t>
  </si>
  <si>
    <t>Trong đó: NSĐP</t>
  </si>
  <si>
    <t>Giai đoạn 2021-2025</t>
  </si>
  <si>
    <t>Trong đó: đã giao kế hoạch các năm 2021, 2022, 2023, 2024</t>
  </si>
  <si>
    <t>Thu hồi các khoản vốn ứng trước</t>
  </si>
  <si>
    <t>Chuẩn bị đầu tư</t>
  </si>
  <si>
    <t>CT</t>
  </si>
  <si>
    <t>HT trước 31/12/24</t>
  </si>
  <si>
    <t>HT25</t>
  </si>
  <si>
    <t>ODA</t>
  </si>
  <si>
    <t>KCM</t>
  </si>
  <si>
    <t>CBDT</t>
  </si>
  <si>
    <t>Đát</t>
  </si>
  <si>
    <t>HT</t>
  </si>
  <si>
    <t>2015-2022</t>
  </si>
  <si>
    <t>GT</t>
  </si>
  <si>
    <t>2023-2025</t>
  </si>
  <si>
    <t>- Ứng quỹ PT đất 58.000trđ</t>
  </si>
  <si>
    <t>HTKT</t>
  </si>
  <si>
    <t>Chưa có QĐ đầu tư</t>
  </si>
  <si>
    <t xml:space="preserve"> Cải tạo, nâng cấp trường PTDTBT tiểu học xã Nà Bủng</t>
  </si>
  <si>
    <t xml:space="preserve"> Cải tạo, nâng cấp trường PTDTBT THCS xã Phìn Hồ</t>
  </si>
  <si>
    <t xml:space="preserve"> Cải tạo, nâng cấp trường PTDTBT Tiểu học Na Cô Sa</t>
  </si>
  <si>
    <t xml:space="preserve"> Cải tạo, nâng cấp trường PTDTBT THCS Tân Phong, xã Si Pa Phìn</t>
  </si>
  <si>
    <t xml:space="preserve"> Cải tạo, nâng cấp trường
PTDTBT tiểu học xã Hừa Ngài </t>
  </si>
  <si>
    <t xml:space="preserve"> Cải tạo, nâng cấp trường
PTDTBT THCS Na Sang </t>
  </si>
  <si>
    <t xml:space="preserve"> Cải tạo, nâng cấp trường Mầm
non xã Hừa Ngài</t>
  </si>
  <si>
    <t>2024-2026</t>
  </si>
  <si>
    <t>Chuyển GĐ 26-30</t>
  </si>
  <si>
    <t>VỐN ĐẦU TƯ TRONG CÂN ĐỐI NGÂN SÁCH ĐỊA PHƯƠNG</t>
  </si>
  <si>
    <t>Dự phòng (10%)</t>
  </si>
  <si>
    <t>TDC</t>
  </si>
  <si>
    <t>Trả phí vay, lãi vay, vay…</t>
  </si>
  <si>
    <t>Vay để trả nợ gốc</t>
  </si>
  <si>
    <t>Các dự án dự kiến hoàn thành năm 2025</t>
  </si>
  <si>
    <t>2014-2025</t>
  </si>
  <si>
    <t>Điện</t>
  </si>
  <si>
    <t>2021-2024</t>
  </si>
  <si>
    <t>YT</t>
  </si>
  <si>
    <t>Các dự án chuẩn bị đầu tư năm 2025</t>
  </si>
  <si>
    <t>Các dự án trọng điểm của tỉnh</t>
  </si>
  <si>
    <t>984/QĐ-UBND 31/5/2021</t>
  </si>
  <si>
    <t>Bố trí theo khả năng giải ngân</t>
  </si>
  <si>
    <t>Các dự án khởi công mới năm 2025</t>
  </si>
  <si>
    <t>2025</t>
  </si>
  <si>
    <t>III.4</t>
  </si>
  <si>
    <t>Các dự án hoàn thành, bàn giao, đưa vào sử dụng đến ngày 31/12/2024</t>
  </si>
  <si>
    <t>646/QĐ-UBND 18/4/2023</t>
  </si>
  <si>
    <t>QP</t>
  </si>
  <si>
    <t>50/QĐ-UBND 18/4/2023</t>
  </si>
  <si>
    <t xml:space="preserve"> 2782/QĐ-CAT-PH10 5/10/2024</t>
  </si>
  <si>
    <t xml:space="preserve"> 2787/QĐ-CAT-PH10 5/10/2024</t>
  </si>
  <si>
    <t xml:space="preserve"> 2784/QĐ-CAT-PH10 5/10/2024</t>
  </si>
  <si>
    <t xml:space="preserve"> 2789/QĐ-CAT-PH10 5/10/2024</t>
  </si>
  <si>
    <t xml:space="preserve"> 2788/QĐ-CAT-PH10 5/10/2024</t>
  </si>
  <si>
    <t xml:space="preserve"> 2785/QĐ-CAT-PH10 5/10/2024</t>
  </si>
  <si>
    <t xml:space="preserve"> 2781/QĐ-CAT-PH10 5/10/2024</t>
  </si>
  <si>
    <t xml:space="preserve"> 2786/QĐ-CAT-PH10 5/10/2024</t>
  </si>
  <si>
    <t xml:space="preserve"> 2783/QĐ-CAT-PH10 5/10/2024</t>
  </si>
  <si>
    <t>GD</t>
  </si>
  <si>
    <t>2024-2025</t>
  </si>
  <si>
    <t xml:space="preserve"> 302/QĐ-UBND 28/02/2023</t>
  </si>
  <si>
    <t>Các dự án chuyển tiếp hoàn thành sau năm 2025</t>
  </si>
  <si>
    <t xml:space="preserve"> 1971/QĐ-UBND 3/12/2023</t>
  </si>
  <si>
    <t>CBĐT</t>
  </si>
  <si>
    <t>KHCN</t>
  </si>
  <si>
    <t>Đầu tư thiết bị Trung tâm kỹ thuật tiêu chuẩn đo luờng chất luợng</t>
  </si>
  <si>
    <t>K kịp QĐ thì sau cắt đi</t>
  </si>
  <si>
    <t>VHTT</t>
  </si>
  <si>
    <t>2019-2023</t>
  </si>
  <si>
    <t>NN</t>
  </si>
  <si>
    <t>2022-2024</t>
  </si>
  <si>
    <t>Cap nc</t>
  </si>
  <si>
    <t>CNTT</t>
  </si>
  <si>
    <t>Công trình công cộng tại các đô thị, hạ tầng kỹ thuật</t>
  </si>
  <si>
    <t>859/QĐ-UBND 28/5/2021</t>
  </si>
  <si>
    <t>2204/QĐ-UBND 02/12/2022</t>
  </si>
  <si>
    <t>2021-2023</t>
  </si>
  <si>
    <t>CQ</t>
  </si>
  <si>
    <t>H.Điện Biên</t>
  </si>
  <si>
    <t>6.1km</t>
  </si>
  <si>
    <t>2.2km</t>
  </si>
  <si>
    <t>5546.5m</t>
  </si>
  <si>
    <t>Lồng ghép Chương trình MTQG PTKTXH vùng đồng bào dân tộc thiểu số và miền núi</t>
  </si>
  <si>
    <t>1678/QĐ-UBND 14/9/2021</t>
  </si>
  <si>
    <t>Lồng ghép thực hiện CTMTQG 88</t>
  </si>
  <si>
    <t>GDDT</t>
  </si>
  <si>
    <t>H ĐBĐ</t>
  </si>
  <si>
    <t>BỘI CHI NGÂN SÁCH ĐỊA PHƯƠNG</t>
  </si>
  <si>
    <t xml:space="preserve"> Cải tạo, nâng cấp cơ sở vật chất Trường THPT  chuyện Lê Quý Đôn</t>
  </si>
  <si>
    <t>1124 /QĐ-UBND 30/6/2022</t>
  </si>
  <si>
    <t xml:space="preserve"> Lồng ghép vốn CTMTQG Dân tộc thiểu số</t>
  </si>
  <si>
    <t>Đường giao thông bản Hả, xã Pá Khoang, thành phố Điện Biên Phủ.</t>
  </si>
  <si>
    <t>Đường giao thông bản Kéo, xã Pá Khoang, thành phố Điện Biên Phủ</t>
  </si>
  <si>
    <t>Đường giao thông bản Bó, xã Pá Khoang, thành phố Điện Biên Phủ</t>
  </si>
  <si>
    <t>Điều chỉnh Kế hoạch năm 2025</t>
  </si>
  <si>
    <t>Kế hoạch 2025 sau điều chỉnh</t>
  </si>
  <si>
    <t>Phân bổ chi tiết từ số còn lại chưa phân bổ</t>
  </si>
  <si>
    <t>Giao vượt trung hạn do năm 2024 được bổ sung</t>
  </si>
  <si>
    <t>Phân bổ số vốn KH 2025 chưa phân bổ chi tiết</t>
  </si>
  <si>
    <t>ĐIỀU CHỈNH KẾ HOẠCH ĐẦU TƯ CÔNG TRUNG HẠN GIAI ĐOẠN 2021-2025</t>
  </si>
  <si>
    <t>ĐIỀU CHỈNH CHI TIẾT DANH MỤC, MỨC VỐN CÁC DỰ ÁN THUỘC KẾ HOẠCH ĐẦU TƯ CÔNG TRUNG HẠN VỐN NGÂN SÁCH ĐỊA PHƯƠNG GIAI ĐOẠN 2021-2025</t>
  </si>
  <si>
    <t>Biểu số 3</t>
  </si>
  <si>
    <t xml:space="preserve">ĐIỀU CHỈNH KẾ HOẠCH VỐN NGÂN SÁCH ĐỊA PHƯƠNG NĂM 2025 </t>
  </si>
  <si>
    <t>Không thực hiện</t>
  </si>
  <si>
    <t>Nhất trí tổng hợp,</t>
  </si>
  <si>
    <t>Biểu số 4</t>
  </si>
  <si>
    <t xml:space="preserve"> ĐIỀU CHỈNH KẾ HOẠCH TRUNG HẠN GIAI ĐOẠN 2021-2025 CỦA 03 CHƯƠNG TRÌNH MỤC TIÊU QUỐC GIA: GIẢM NGHÈO BỀN VỮNG, PHÁT TRIỂN KINH TẾ XÃ HỘI VÙNG ĐÔNG BÀO DÂN TỘC THIỂU SỐ VÀ MIỀN NÚI, XÂY DỰNG NÔNG THÔN MỚI</t>
  </si>
  <si>
    <t xml:space="preserve"> Đơn vị: Triệu đồng</t>
  </si>
  <si>
    <t xml:space="preserve">Quyết định đầu tư </t>
  </si>
  <si>
    <t>Đề xuất điều chỉnh</t>
  </si>
  <si>
    <t>Kế hoạch trung hạn 2021-2025 sau điều chỉnh</t>
  </si>
  <si>
    <t>Số QĐ; ngày, tháng, năm ban hành</t>
  </si>
  <si>
    <t>Trong đó: Vốn NSTW</t>
  </si>
  <si>
    <t>TỔNG SỐ:</t>
  </si>
  <si>
    <t xml:space="preserve"> Chương trình MTQG giảm nghèo bền vững</t>
  </si>
  <si>
    <t>ĐƠN VỊ CẤP TỈNH</t>
  </si>
  <si>
    <t>I.1</t>
  </si>
  <si>
    <t>Dự án 1: Hỗ trợ đầu tư phát triển hạ tầng KT-XH các huyện nghèo, các xã đặc biệt khó khăn vùng bải ngang, ven biển và hải đảo</t>
  </si>
  <si>
    <t>Dự án xây mới nhà kỹ thuật cao TTYT huyện Tuần Giáo</t>
  </si>
  <si>
    <t>1420/QĐ-UBND 14/8/2022</t>
  </si>
  <si>
    <t>I.2</t>
  </si>
  <si>
    <t>Dự án 4: Phát triển giáo dục NN, việc làm bền vững</t>
  </si>
  <si>
    <t>I.2.1</t>
  </si>
  <si>
    <t xml:space="preserve"> Tiểu dự án 1: Phát triển giáo dục nghề nghiệp vùng nghèo, vùng khó khăn</t>
  </si>
  <si>
    <t xml:space="preserve"> Trường Cao đẳng Nghề</t>
  </si>
  <si>
    <t xml:space="preserve">Nâng cấp, cải tạo các hạng mục phụ trợ: Cổng, nhà bảo vệ, sân, tường rào và rãnh thoát nước nội bộ Trường Cao đẳng nghề Điện Biên. </t>
  </si>
  <si>
    <t>1440/QĐ-UBND  14/8/2022</t>
  </si>
  <si>
    <t>Nâng cấp, cải tạo nhà hiệu bộ Trường Cao đẳng nghề Điện Biên.</t>
  </si>
  <si>
    <t>1405/QĐ-UBND  13/8/2022</t>
  </si>
  <si>
    <t xml:space="preserve">Nâng cấp, cải tạo nhà ký túc xá 3 tầng Trường Cao đẳng nghề Điện Biên. </t>
  </si>
  <si>
    <t>1442/QĐ-UBND  14/8/2022</t>
  </si>
  <si>
    <t xml:space="preserve"> Trường Cao đẳng Y tế Điện Biên</t>
  </si>
  <si>
    <t xml:space="preserve"> Cải tạo, sửa chữa, nâng cấp, bổ sung trang thiết bị Nhà ký túc xá 3 tầng HSSV khu A Trường Cao đẳng y tế Điện Biên</t>
  </si>
  <si>
    <t>2214/QĐ-UBND 02/12/2022</t>
  </si>
  <si>
    <t>I.2.2</t>
  </si>
  <si>
    <t xml:space="preserve"> Tiểu dự án 3: Hỗ trợ việc làm bền vững</t>
  </si>
  <si>
    <t>Sở Lao động, Thương binh và Xã hội</t>
  </si>
  <si>
    <t>Cơ sở hạ tầng, trang thiết bị công nghệ thông tin để hiện đại hóa hệ thống thông tin thị trường lao động Trung tâm giới thiệu việc làm tỉnh Điện Biên</t>
  </si>
  <si>
    <t>1407/QĐ-UBND  13/8/2022; 2010/QĐ-UBND 01/11/2022</t>
  </si>
  <si>
    <t>ĐƠN VỊ CẤP HUYỆN 
(Dự án 1: Hỗ trợ đầu tư phát triển hạ tầng kinh tế - xã hội các huyện nghèo)</t>
  </si>
  <si>
    <t xml:space="preserve"> Huyện Nậm Pồ</t>
  </si>
  <si>
    <t xml:space="preserve">Cầu bê tông qua suối Nậm Pồ đi xã Nậm Chua, huyện Nậm Pồ </t>
  </si>
  <si>
    <t>1196/QĐ-UBND  11/7/2022</t>
  </si>
  <si>
    <t>Trung tâm Văn hóa huyện Nậm Pồ</t>
  </si>
  <si>
    <t>1409/QĐ-UBND  13/8/2022</t>
  </si>
  <si>
    <t xml:space="preserve"> Huyện Mường Ảng</t>
  </si>
  <si>
    <t xml:space="preserve">Trường mầm non Hoa Hồng, thị trấn Mường Ảng </t>
  </si>
  <si>
    <t>1410/QĐ-UBND  13/8/2022</t>
  </si>
  <si>
    <t xml:space="preserve">Đường liên xã Mường Đăng - Ngối Cáy (từ bản Chan I đi Chan II, xã Mường Đăng đi Chan III, xã Ngối Cáy) </t>
  </si>
  <si>
    <t>1411/QĐ-UBND  13/8/2022</t>
  </si>
  <si>
    <t>Đầu tư xây dựng Nhà Đa năng; cải tạo, sửa chữa nhà lớp học, nhà công vụ và các hạng mục phụ trợ trường THPT Búng Lao</t>
  </si>
  <si>
    <t>1424/QĐ-UBND ngày 14/8/2022</t>
  </si>
  <si>
    <t>Dự án: Cải tạo, nâng cấp phòng khám đa khoa khu vực Búng Lao, huyện Mường Ảng</t>
  </si>
  <si>
    <t>1422/QĐ-UBND  14/8/2022</t>
  </si>
  <si>
    <t xml:space="preserve">Nhà hiệu bộ trường tiểu học thị trấn Mường Ảng </t>
  </si>
  <si>
    <t>2874/QĐ-UBND  11/7/2022</t>
  </si>
  <si>
    <t xml:space="preserve">Phòng học bộ môn trường THCS thị trấn Mường Ảng </t>
  </si>
  <si>
    <t>2875/QĐ-UBND  11/7/2022</t>
  </si>
  <si>
    <t xml:space="preserve">Nhà lớp học và các hạng mục phụ trợ Trường THCS Ẳng Cang </t>
  </si>
  <si>
    <t>2876/QĐ-UBND 11/7/2022</t>
  </si>
  <si>
    <t xml:space="preserve">Xây dựng nhà lớp học và các hạng mục phụ trợ Trường Tiểu học Ẳng Nưa </t>
  </si>
  <si>
    <t>2877/QĐ-UBND 11/7/2022</t>
  </si>
  <si>
    <t>Xây dựng nhà lớp và các hạng mục phụ trợ học Trường Tiểu học Mường Lạn</t>
  </si>
  <si>
    <t>2878/QĐ-UBND  11/7/2022</t>
  </si>
  <si>
    <t>Đường liên xã Nặm Lịch - Mường Lạn (Từ bản Lịch Cang, xã Nặm Lịch sang bản Huổi Lỵ, xã Mường Lạn)</t>
  </si>
  <si>
    <t>2879/QĐ-UBND  11/7/2022</t>
  </si>
  <si>
    <t>Đường liên xã Ẳng Nưa - Ẳng Cang</t>
  </si>
  <si>
    <t>2880/QĐ-UBND  11/7/2022</t>
  </si>
  <si>
    <t xml:space="preserve">Nâng cấp đường từ trung tâm xã Mường Đăng đi xã Ngối Cáy </t>
  </si>
  <si>
    <t>2881/QĐ-UBND  11/7/2022</t>
  </si>
  <si>
    <t>Sửa chữa sân và các hạng mục phụ trợ khu trung tâm hành chính huyện (tổ chức các sự kiện văn hóa, văn nghệ, TDTT của huyện)</t>
  </si>
  <si>
    <t>2911/QĐ-UBND  13/7/2022</t>
  </si>
  <si>
    <t xml:space="preserve">Trường tiểu học xã Ngối Cáy </t>
  </si>
  <si>
    <t>4250/QD-UBND 22/11/2022</t>
  </si>
  <si>
    <t xml:space="preserve">Phòng học bộ môn + nhà nội trú và các hạng mục phụ trợ Trường THCS Ngối Cáy </t>
  </si>
  <si>
    <t>4251/QD-UBND  22/11/2022</t>
  </si>
  <si>
    <t xml:space="preserve">Nhà lớp học và các hạng mục phụ trợ trường PTDTBTTH bản Bua, xã Ẳng Tở </t>
  </si>
  <si>
    <t>4252/QD-UBND  22/11/2022</t>
  </si>
  <si>
    <t>Nhà lớp học và các hạng mục phụ trợ Trường THCS Nặm Lịch</t>
  </si>
  <si>
    <t>4140/QD-UBND 09/11/2022</t>
  </si>
  <si>
    <t>Nhà lớp học và các hạng mục phụ trợ Trường Tiểu học Mường Đăng</t>
  </si>
  <si>
    <t>4135, ngày 17/11/2023</t>
  </si>
  <si>
    <t>Nhà lớp học và các hạng mục phụ trợ Trường Tiểu học Nặm Lịch</t>
  </si>
  <si>
    <t>4136, ngày 17/11/2023</t>
  </si>
  <si>
    <t xml:space="preserve"> Huyện Tủa Chùa</t>
  </si>
  <si>
    <t>Nâng cấp tuyến đường Thị trấn - Đề Dê Hu - Sính Phình</t>
  </si>
  <si>
    <t>1413/QĐ-UBND 13/8/2022</t>
  </si>
  <si>
    <t>Tuyến đường Tả Sìn Thàng - Páo Tình Làng - Sáng Tớ đi Sín Chải, Huổi Só</t>
  </si>
  <si>
    <t>1414/QĐ-UBND 13/8/2022</t>
  </si>
  <si>
    <t>Sân Vận động Huyện Tủa Chùa</t>
  </si>
  <si>
    <t>1415/QĐ-UBND 13/8/2022</t>
  </si>
  <si>
    <t>Cải tạo, nâng cấp phòng khám đa khoa khu vực Tả Sìn Thàng, huyện Tủa Chùa</t>
  </si>
  <si>
    <t>1421/QĐ-UBND 14/8/2022</t>
  </si>
  <si>
    <t>Đầu tư xây dựng nhà lớp học và phòng học bộ môn, khu nội trú và các hạng mục phụ trợ trường THCS và THPT Quyết Tiến</t>
  </si>
  <si>
    <t>1416/QĐ-UBND 14/8/2022</t>
  </si>
  <si>
    <t xml:space="preserve"> Huyện Mường Chà</t>
  </si>
  <si>
    <t>Nâng cấp đường giao thông Thị trấn Mường Chà - xã Na Sang (Điểm đầu từ QL12 thị trấn Mường Chà điểm cuối bản Huổi Xưa, xã Na Sang)</t>
  </si>
  <si>
    <t>1224/QĐ-UBND 13/7/2022</t>
  </si>
  <si>
    <t>Nâng cấp đường giao thông xã Huổi Lèng - xã Sá Tổng (Điểm đầu tuyến từ bản Ma Lù Thàng, xã Huổi Lèng - điểm cuối tuyến Phi 2, xã Sá Tổng)</t>
  </si>
  <si>
    <t>1225/QĐ-UBND 13/7/2022</t>
  </si>
  <si>
    <t xml:space="preserve">Nâng cấp, sửa chữa Trường Tiểu học và THCS Mường Tùng, xã Mường Tùng </t>
  </si>
  <si>
    <t>1377/QĐ-UBND  10/8/2022</t>
  </si>
  <si>
    <t>Đầu tư xây dựng Nhà Đa năng, lớp học, nhà nội trú và các hạng mục phụ trợ trường THPT Mường Chà</t>
  </si>
  <si>
    <t>1425/QĐ-UBND  14/8/2022</t>
  </si>
  <si>
    <t>Nâng cấp đường giao thông xã Na Sang - xã Mường Mươn (Điểm đầu tuyến từ bản Hin 1, xã Na Sang - điểm cuối tuyến bản Huổi Nhả, xã Mường Mươn)</t>
  </si>
  <si>
    <t>1997/QĐ-UBND  14/7/2022</t>
  </si>
  <si>
    <t>Xây mới trường Mầm non Ma Thì Hồ, xã Ma Thì Hồ</t>
  </si>
  <si>
    <t>1998/QĐ-UBND  14/7/2022</t>
  </si>
  <si>
    <t xml:space="preserve">Nâng cấp, sửa chữa trường PTDTBT Tiểu học và THCS Sá Tổng, xã Sá Tổng </t>
  </si>
  <si>
    <t>1999/QĐ-UBND 14/7/2022</t>
  </si>
  <si>
    <t xml:space="preserve">Nâng cấp, sửa chữa Trường PTDTBT Tiểu học Huổi Lèng xã Huổi Lèng </t>
  </si>
  <si>
    <t>2001/QĐ-UBND 14/7/2022</t>
  </si>
  <si>
    <t xml:space="preserve">Nâng cấp, sửa chữa Trường PTDTBT Tiểu học Huổi Mí, xã Huổi Mí </t>
  </si>
  <si>
    <t>5047/QĐ-UBND 237112022</t>
  </si>
  <si>
    <t xml:space="preserve">Nâng cấp, sửa chữa Trường Tiểu học Mường Mươn, xã Mường Mươn </t>
  </si>
  <si>
    <t>5827/QĐ-UBND ngày 19/10/2023</t>
  </si>
  <si>
    <t xml:space="preserve"> Xây mới Trường PTDTBT Tiểu học Mường Anh xã Pa Ham</t>
  </si>
  <si>
    <t xml:space="preserve">Nâng cấp, sửa chữa Trường PTDTBT Tiểu học Na Sang, xã Na Sang </t>
  </si>
  <si>
    <t xml:space="preserve"> Huyện Điện Biên Đông</t>
  </si>
  <si>
    <t>Đầu tư xây dựng Nhà Đa năng và phòng học bộ môn, nhà nội trú và các hạng mục phụ trợ trường THPT Trần Can</t>
  </si>
  <si>
    <t>1426/QĐ-UBND  14/8/2022</t>
  </si>
  <si>
    <t>Đầu tư xây dựng khu nội trú; cải tạo, sửa chữa nhà Ban Giám hiệu và các hạng mục phụ trợ trường PTDTNT THPT huyện Điện Biên Đông</t>
  </si>
  <si>
    <t>1956/QĐ-UBND 30/11/2023</t>
  </si>
  <si>
    <t>Hệ thống điện sinh hoạt các xã Na Son, Xa Dung (bản Tìa Ló, Trung Phu xã Na Son; bản Ca Tâu Xa Dung)</t>
  </si>
  <si>
    <t xml:space="preserve">1922/QĐ-UBND ngày 30/10/2023 </t>
  </si>
  <si>
    <t xml:space="preserve"> Huyện Tuần Giáo</t>
  </si>
  <si>
    <t>Trung tâm văn hóa huyện Tuần Giáo</t>
  </si>
  <si>
    <t>1427/QĐ-UBND 14/8/2022</t>
  </si>
  <si>
    <t>Đường liên xã Nà Sáy - Mường Khong</t>
  </si>
  <si>
    <t>1428/QĐ-UBND 14/8/2022</t>
  </si>
  <si>
    <t xml:space="preserve">Đường liên xã Rạng Đông - Nà Tòng </t>
  </si>
  <si>
    <t>2213/QĐ-UBND 02/12/2022</t>
  </si>
  <si>
    <t xml:space="preserve"> Huyện Mường Nhé</t>
  </si>
  <si>
    <t>Nâng cấp, sửa chữa Trường THCS Leng Su Sìn</t>
  </si>
  <si>
    <t>821/QĐ-UBND  11/8/2022</t>
  </si>
  <si>
    <t xml:space="preserve">Nâng cấp, sửa chữa Trường Tiểu học Trần Văn Thọ </t>
  </si>
  <si>
    <t>822/QĐ-UBND  11/8/2022</t>
  </si>
  <si>
    <t xml:space="preserve">Nâng cấp, sửa chữa Trường Tiểu học Leng Su Sìn </t>
  </si>
  <si>
    <t>823/QĐ-UBND 11/8/2022</t>
  </si>
  <si>
    <t>Nâng cấp, sửa chữa trường Phổ thông DTBT THCS Mường Toong</t>
  </si>
  <si>
    <t>824/QĐ-UBND 11/8/2022</t>
  </si>
  <si>
    <t>Đầu tư xây dựng nhà lớp học, khu nội trú và các HMPT trường THPT Mường Nhé</t>
  </si>
  <si>
    <t>2212/QĐ-UBND 02/12/2022</t>
  </si>
  <si>
    <t xml:space="preserve"> Chương trình MTQG phát triển KTXH vùng đồng bào dân tộc thiểu số miền núi</t>
  </si>
  <si>
    <t>ĐƠN VỊ CẤP HUYỆN</t>
  </si>
  <si>
    <t>HUYỆN TUẦN GIÁO</t>
  </si>
  <si>
    <t>DỰ ÁN 1: Giải quyết tình trạng thiếu đất ở, nhà ở, đất sản xuất, nước sinh hoạt</t>
  </si>
  <si>
    <t>Nước sinh hoạt tập trung</t>
  </si>
  <si>
    <t>Hệ thống cấp nước Trung tâm xã Ta Ma</t>
  </si>
  <si>
    <t>Số 115/QĐ-UBND ngày 29/11/2024</t>
  </si>
  <si>
    <t xml:space="preserve">Dự án thiều vốn </t>
  </si>
  <si>
    <t>DỰ ÁN 4: Đầu tư cơ sở hạ tầng thiết yếu, phục vụ sản xuất, đời sống trong vùng đồng bào dân tộc thiểu số và miền núi và các đơn vị sự nghiệp công của lĩnh vực dân tộc</t>
  </si>
  <si>
    <t>Xây dựng hệ thống điện chiếu sáng nông thôn các xã: Chiềng Sinh, Chiềng Đông, Quài Nưa, Pú Nhung, Mường Mùn, Mùn Chung, Rạng Đông, Phình Sáng</t>
  </si>
  <si>
    <t>Số 118/QĐ-UBND ngày 29/11/2024</t>
  </si>
  <si>
    <t>HUYỆN ĐIỆN BIÊN ĐÔNG</t>
  </si>
  <si>
    <t>Đầu tư CSHT</t>
  </si>
  <si>
    <t xml:space="preserve">Xã khu vực III </t>
  </si>
  <si>
    <t>Hệ thống điện sinh hoạt bản Bắng Chộc xã Na Son</t>
  </si>
  <si>
    <t>1921/QĐ-UBND ngày 30/10/2023</t>
  </si>
  <si>
    <t>Hết nhiệm vụ chi</t>
  </si>
  <si>
    <t>Nâng cấp đường giao thông bản Lọng Chuông - Ho Cớ xã Na Son</t>
  </si>
  <si>
    <t>1973/QĐ-UBND ngày 03/11/2023</t>
  </si>
  <si>
    <t>Hết nhu cầu sử dụng (CL thuế, CL dự toán - giá trúng thầu - nghiệm thu, dự phòng)</t>
  </si>
  <si>
    <t>Nâng cấp đường giao thông bản Pá Chuông - Lọng Chuông xã Na Son (Giai đoạn 2)</t>
  </si>
  <si>
    <t xml:space="preserve"> 1974/QĐ-UBND ngày 03/11/2023</t>
  </si>
  <si>
    <t>Nâng cấp đường giao thông từ Na Ngua xã Luân Giói - Chiềng En (huyện Sông Mã)</t>
  </si>
  <si>
    <t>1976/QĐ-UBND ngày 03/11/2023</t>
  </si>
  <si>
    <t>Hệ thống điện sinh hoạt các xã Pú Hồng (bản Nậm Ma, Ao Cá, Mường Ten, Tồng Sớ)</t>
  </si>
  <si>
    <t>2617/QĐ-UBND ngày 18/11/2022</t>
  </si>
  <si>
    <t>Hệ thống điện sinh hoạt bản Phì Cao xã Phình Giàng</t>
  </si>
  <si>
    <t>2030/QĐ-UBND ngày 08/11/2023</t>
  </si>
  <si>
    <t>12</t>
  </si>
  <si>
    <t>Đường giao thông Bản Từ Xa B - Bản Trống Sư A xã Phì Nhừ</t>
  </si>
  <si>
    <t>2025/QĐ-UBND ngày 08/11/2023</t>
  </si>
  <si>
    <t>13</t>
  </si>
  <si>
    <t>Đường bê tông  bản Tìa Ghênh A- Tìa Ghênh B  xã Keo Lôm</t>
  </si>
  <si>
    <t>2026/QĐ-UBND ngày 08/11/2023</t>
  </si>
  <si>
    <t>14</t>
  </si>
  <si>
    <t>Đường bê tông vào khu Pà Lâu bản Xa Vua A xã Phình Giàng</t>
  </si>
  <si>
    <t>2033/QĐ-UBND ngày 08/11/2023</t>
  </si>
  <si>
    <t>Ngầm tràn liên hợp Huổi Va B xã Háng Lìa</t>
  </si>
  <si>
    <t>7918/QĐ-UBND, ngày 25/9/2024</t>
  </si>
  <si>
    <t>Đường bê tông ngã 3 háng Lìa đến bản Tào La (Giai đoạn 2)</t>
  </si>
  <si>
    <t>2034/QĐ-UBND ngày 08/11/2023</t>
  </si>
  <si>
    <t>Nâng cấp đường giao thông Thẩm trẩu - Háng Sông Dưới</t>
  </si>
  <si>
    <t>1977/QĐ-UBND ngày 03/11/2023</t>
  </si>
  <si>
    <t>Đường giao thông nội bản (Pá Hịa + Huổi Hu + Pá Nâm) xã Chiềng Sơ</t>
  </si>
  <si>
    <t>7919/QĐ-UBND, ngày 25/9/2024</t>
  </si>
  <si>
    <t>Thôn ĐBKK</t>
  </si>
  <si>
    <t>Đường bê tông  bản Từ Xa B xã Phì Nhừ</t>
  </si>
  <si>
    <t>1972/QĐ-UBND ngày 03/11/2023</t>
  </si>
  <si>
    <t>Đường bê tông bản Huổi Hoa A2 xã Keo Lôm</t>
  </si>
  <si>
    <t>2027/QĐ-UBND ngày 08/11/2023</t>
  </si>
  <si>
    <t>Đường bê tông bản Huổi Múa B xã Keo Lôm</t>
  </si>
  <si>
    <t>2028/QĐ-UBND ngày 08/11/2023</t>
  </si>
  <si>
    <t>Cứng hóa đường giao thông đến trung tâm xã</t>
  </si>
  <si>
    <t>Nâng cấp đường giao thông ngã 3 Keo Lôm - Tìa Ló</t>
  </si>
  <si>
    <t>Quyết định số 3342/QĐ-UBND ngày 29/12/2021</t>
  </si>
  <si>
    <t>Xây dựng, cải tạo mạng lưới chợ vùng DTTS&amp;MN</t>
  </si>
  <si>
    <t>Xây mới Chợ Pu Nhi</t>
  </si>
  <si>
    <t>2035/QĐ-UBND ngày 08/11/2023.</t>
  </si>
  <si>
    <t>DỰ ÁN  5: Phát triển giáo dục đào tạo nâng cao chất lượng nguồn nhân lực</t>
  </si>
  <si>
    <t>Nâng cấp, bổ sung Trường PTDTBT Tiểu học Luân Giói</t>
  </si>
  <si>
    <t>1978/QĐ-UBND ngày 03/11/2023</t>
  </si>
  <si>
    <t>Nâng cấp, bổ sung Trường PTDTBT TH&amp;THCS Mường Luân</t>
  </si>
  <si>
    <t>1979/QĐ-UBND ngày 03/11/2023</t>
  </si>
  <si>
    <t>Nâng cấp, bổ sung Trường PTDTBT TH&amp;THCS Na Son</t>
  </si>
  <si>
    <t>1980/QĐ-UBND ngày 03/11/2023</t>
  </si>
  <si>
    <t>Nâng cấp, bổ sung Trường PTDTBT THCS  Nong U</t>
  </si>
  <si>
    <t>2036/QĐ-UBND ngày 08/11/2023</t>
  </si>
  <si>
    <t>Nâng cấp, bổ sung Trường PTDTBT Tiểu học Phì Nhừ</t>
  </si>
  <si>
    <t>2029/QĐ-UBND ngày 08/11/2023</t>
  </si>
  <si>
    <t>Nâng cấp, bổ sung Trường PTDTBT Tiểu học Sư Lư</t>
  </si>
  <si>
    <t>1981/QĐ-UBND ngày 03/11/2023</t>
  </si>
  <si>
    <t>Nâng cấp, bổ sung Trường PTDTBT Tiểu học Quang Trung</t>
  </si>
  <si>
    <t>2037/QĐ-UBND ngày 08/11/2023</t>
  </si>
  <si>
    <t>Nâng cấp, bổ sung Trường PTDTBT Tiểu học  Keo Lôm</t>
  </si>
  <si>
    <t>2144/QĐ-UBND ngày 21/11/2023</t>
  </si>
  <si>
    <t>Nâng cấp, bổ sung Trường PTDTBT THCS Keo Lôm</t>
  </si>
  <si>
    <t>2182/QĐ-UBND ngày 28/11/2023</t>
  </si>
  <si>
    <t>I.3</t>
  </si>
  <si>
    <t>HUYỆN MƯỜNG ẢNG</t>
  </si>
  <si>
    <t>Sửa chữa nước sinh hoạt bản Pú Cai, xã Ẳng Cang</t>
  </si>
  <si>
    <t>4097, ngày 16/11/2023</t>
  </si>
  <si>
    <t>Dự án hết nhu cầu vốn giai đoạn 2021-2025</t>
  </si>
  <si>
    <t>Nước sinh hoạt bản Chan II, xã Mường Đăng</t>
  </si>
  <si>
    <t xml:space="preserve">Số 2922/QĐ-UBND ngày 14/07/2022 </t>
  </si>
  <si>
    <t>Nước sinh hoạt trung tâm xã Mường Đăng và các bản lân cận</t>
  </si>
  <si>
    <t xml:space="preserve">Số 4144/QĐ-UBND ngày 09/11/2022 </t>
  </si>
  <si>
    <t>DA đã quyết toán dự án hoàn thành; thiếu chi phí quyết toán</t>
  </si>
  <si>
    <t>Nước sinh hoạt bản Pơ Mu xã Mường Đăng</t>
  </si>
  <si>
    <t>4098, ngày 16/11/2023</t>
  </si>
  <si>
    <t>2.1</t>
  </si>
  <si>
    <t>2.1.1</t>
  </si>
  <si>
    <t>Đường dân sinh bản Mánh Đanh, xã Ẳng Cang</t>
  </si>
  <si>
    <t xml:space="preserve">Số 4145/QĐ-UBND ngày 09/11/2022 </t>
  </si>
  <si>
    <t>Đường nội bản Hồng Sọt, xã Ẳng Cang</t>
  </si>
  <si>
    <t>4099, ngày 16/11/2023</t>
  </si>
  <si>
    <t>Dự án hết nhu cầu vốn giai đoạn 2021-2026</t>
  </si>
  <si>
    <t>Đường nội bản Hua Ná, xã Ẳng Cang</t>
  </si>
  <si>
    <t>4100, ngày 16/11/2023</t>
  </si>
  <si>
    <t>Dự án hết nhu cầu vốn giai đoạn 2021-2027</t>
  </si>
  <si>
    <t>Thủy lợi bản Hua Nặm, xã Ẳng Cang</t>
  </si>
  <si>
    <t>4102, ngày 16/11/2023</t>
  </si>
  <si>
    <t>Dự án hết nhu cầu vốn giai đoạn 2021-2028</t>
  </si>
  <si>
    <t>Nhà Văn hóa bản Huổi Sứa, xã Ẳng Cang</t>
  </si>
  <si>
    <t>4101, ngày 16/11/2023</t>
  </si>
  <si>
    <t>Nhà văn hóa bản Mánh Đanh, xã Ẳng Cang</t>
  </si>
  <si>
    <t>4103, ngày 16/11/2023</t>
  </si>
  <si>
    <t>Nhà Văn hóa bản Pom Ké + Hua Nguống</t>
  </si>
  <si>
    <t>4104, ngày 16/11/2023</t>
  </si>
  <si>
    <t>Đường nội bản Co Có Đường nội bản Co Có (nhánh 1: Từ ngã ba nhà ông Kỹ đường đi xã Nặm Lịch đến nhà ông Nhân; Nhánh 2: Từ nhà ông Hùng đến nhà ông Thư), xã Ẳng Tở</t>
  </si>
  <si>
    <t>4106, ngày 16/11/2023</t>
  </si>
  <si>
    <t>Dự án hết nhu cầu vốn giai đoạn 2021-2029</t>
  </si>
  <si>
    <t>Đường liên bản Pá Cha (Ten) nhà ông Họp, xã Ẳng Tở</t>
  </si>
  <si>
    <t>4138, ngày 17/11/2023</t>
  </si>
  <si>
    <t>Dự án hết nhu cầu vốn giai đoạn 2021-2030</t>
  </si>
  <si>
    <t>Đường nội bản Huổi Châng, xã Ẳng Tở</t>
  </si>
  <si>
    <t>310, ngày 20/11/2023 UBND xã Ẳng Tở</t>
  </si>
  <si>
    <t>Dự án hết nhu cầu vốn giai đoạn 2021-2031</t>
  </si>
  <si>
    <t>Đường nội bản Cha Cuông (khu A đi khu B), xã Ẳng Tở</t>
  </si>
  <si>
    <t>4139, ngày 17/11/2023</t>
  </si>
  <si>
    <t>Dự án hết nhu cầu vốn giai đoạn 2021-2032</t>
  </si>
  <si>
    <t>Thủy lợi Ná Nhả Sáy, xã Ẳng Tở</t>
  </si>
  <si>
    <t>4140, ngày 17/11/2023</t>
  </si>
  <si>
    <t>Nối dài kênh thủy lợi Cha Cuông 1, xã Ẳng Tở</t>
  </si>
  <si>
    <t>311, ngày 20/11/2023 UBND xã Ẳng Tở</t>
  </si>
  <si>
    <t>Dự án hết nhu cầu vốn giai đoạn 2021-2033</t>
  </si>
  <si>
    <t>Nhà văn hóa bản Co Có, xã Ẳng Tở</t>
  </si>
  <si>
    <t>4107, ngày 16/11/2023</t>
  </si>
  <si>
    <t>DA đã thi công xong nhưng còn thiếu vốn thanh toán khối lượng hoàn thành</t>
  </si>
  <si>
    <t>Nhà văn hóa bản Huổi Hỏm, xã Ẳng Tở</t>
  </si>
  <si>
    <t>309, ngày 20/11/2023 UBND xã Ẳng Tở</t>
  </si>
  <si>
    <t>Nhà văn hóa bản Huổi Chỏn, xã Ẳng Tở</t>
  </si>
  <si>
    <t>308, ngày 20/11/2023 UBND xã Ẳng Tở</t>
  </si>
  <si>
    <t>Nhà văn hóa bản Pá Cha, xã Ẳng Tở</t>
  </si>
  <si>
    <t>4108, ngày 16/11/2023</t>
  </si>
  <si>
    <t>Nhà văn hóa bản Cha Nọ, xã Ẳng Tở</t>
  </si>
  <si>
    <t>4109, ngày 16/11/2023</t>
  </si>
  <si>
    <t>Nhà văn hóa bản Tọ Nọ, Tọ Cang, xã Ẳng Tở</t>
  </si>
  <si>
    <t>4110, ngày 16/11/2023</t>
  </si>
  <si>
    <t>Nhà văn hóa bản Bua I, II, xã Ẳng Tở</t>
  </si>
  <si>
    <t>4111, ngày 16/11/2023</t>
  </si>
  <si>
    <t>Đường sang khu dân cư và sản xuất bản Nong Pom Phai, xã Ngối Cáy</t>
  </si>
  <si>
    <t>4141, ngày 17/11/2023</t>
  </si>
  <si>
    <t>Đường đi khu sản xuất bản Nặm Cứm, xã Ngối Cáy</t>
  </si>
  <si>
    <t>4142, ngày 17/11/2023</t>
  </si>
  <si>
    <t>Đường nội bản Chan III (từ điểm trường tiểu học đến khu dân cư), xã Ngối Cáy</t>
  </si>
  <si>
    <t>4143, ngày 17/11/2023</t>
  </si>
  <si>
    <t>Đường nội bản Xuân Ban, xã Ngối Cáy</t>
  </si>
  <si>
    <t>4144, ngày 17/11/2023</t>
  </si>
  <si>
    <t>Sửa chữa, nâng cấp đập đầu mối thủy lợi Ná Cắm + Ná Ngối, xã Ngối Cáy</t>
  </si>
  <si>
    <t>4145, ngày 17/11/2023</t>
  </si>
  <si>
    <t>Sửa chữa, nâng cấp kênh mương Ná Tý + Ná Huổi + Ná Tông Nong Sẳng, xã Ngối Cáy</t>
  </si>
  <si>
    <t>165, ngày 20/11/2023 UBND xã Ngối Cáy</t>
  </si>
  <si>
    <t>Thủy lợi Ná Co Sản bản Cáy, xã Ngối Cáy</t>
  </si>
  <si>
    <t>4165, ngày 20/11/2023</t>
  </si>
  <si>
    <t>Thủy lợi Ná Tông, bản Sẳng, xã Ngối Cáy</t>
  </si>
  <si>
    <t>166, ngày 20/11/2023 UBND xã Ngối Cáy</t>
  </si>
  <si>
    <t>Nhà Văn hóa bản Ngối + Xuân Ban, xã Ngối Cáy</t>
  </si>
  <si>
    <t>4166, ngày 20/11/2023</t>
  </si>
  <si>
    <t>Nhà Văn hóa bản Co Hắm, xã Ngối Cáy</t>
  </si>
  <si>
    <t>4167, ngày 20/11/2023</t>
  </si>
  <si>
    <t>Nhà Văn hóa bản Nong, xã Ngối Cáy</t>
  </si>
  <si>
    <t>4168, ngày 20/11/2023</t>
  </si>
  <si>
    <t>Nhà Văn hóa Bản Sẳng, xã Ngối Cáy</t>
  </si>
  <si>
    <t>4169, ngày 20/11/2023</t>
  </si>
  <si>
    <t>Đường liên bản Bản Xuân Lứa - Bản Co Sản, xã Mường Lạn</t>
  </si>
  <si>
    <t>4170, ngày 20/11/2023</t>
  </si>
  <si>
    <t>Đường liên bản Lạn B - bản Nhộp, xã Mường Lạn</t>
  </si>
  <si>
    <t>4083, ngày 15/11/2023</t>
  </si>
  <si>
    <t>Đường đi khu sản xuất bản Lạn A, xã Mường Lạn</t>
  </si>
  <si>
    <t>4084, ngày 15/11/2023</t>
  </si>
  <si>
    <t>Dự án hết nhu cầu vốn giai đoạn 2021-2034</t>
  </si>
  <si>
    <t>Thủy  lơi Ná Nứa Xôm bản Co Muông, xã Mường Lạn</t>
  </si>
  <si>
    <t>4171, ngày 20/11/2023</t>
  </si>
  <si>
    <t>Nhà Văn Hóa Hua Ná, xã Mường Lạn</t>
  </si>
  <si>
    <t>4172, ngày 20/11/2023</t>
  </si>
  <si>
    <t>Dự án hết nhu cầu vốn giai đoạn 2021-2035</t>
  </si>
  <si>
    <t>Nhà văn hoá bản Có, xã Mường Lạn</t>
  </si>
  <si>
    <t>4173, ngày 20/11/2023</t>
  </si>
  <si>
    <t>Dự án hết nhu cầu vốn giai đoạn 2021-2036</t>
  </si>
  <si>
    <t>Nhà văn hoá bản Pú Cai, xã Ẳng Cang</t>
  </si>
  <si>
    <t>4105, ngày 16/11/2023</t>
  </si>
  <si>
    <t>Dự án hết nhu cầu vốn giai đoạn 2021-2037</t>
  </si>
  <si>
    <t>Nhà văn hóa Bản Huổi Lỵ, xã Mường Lạn</t>
  </si>
  <si>
    <t>217, ngày 20/11/2023 UBND xã Mường Lạn</t>
  </si>
  <si>
    <t>Dự án hết nhu cầu vốn giai đoạn 2021-2038</t>
  </si>
  <si>
    <t>2.1.2</t>
  </si>
  <si>
    <t>Đường đi khu sản xuất bản Hón (Đoạn từ nhà ông Chung Phước đến nhà ông Hùng), thị trấn Mường Ảng</t>
  </si>
  <si>
    <t>4085, ngày 15/11/2023</t>
  </si>
  <si>
    <t>Đường nội bản Hón (Đoạn từ nhà ông Dũng đến nhà Ún Bình), thị trấn Mường Ảng</t>
  </si>
  <si>
    <t>4086, ngày 15/11/2023</t>
  </si>
  <si>
    <t>Mương phai bản Hón (Đoạn từ đầu cầu đường 27m đến Vòng xuyến đường 42m), thị trấn Mường Ảng</t>
  </si>
  <si>
    <t>235, ngày 20/11/2023 UBND TT Mường Ảng</t>
  </si>
  <si>
    <t>2.2</t>
  </si>
  <si>
    <t>Đường liên xã từ bản Xuân Ban (xã Ngối Cáy) đến bản Pú Tỉu (xã Ẳng Tở)</t>
  </si>
  <si>
    <t xml:space="preserve">Số 4147/QĐ-UBND ngày 09/11/2022 </t>
  </si>
  <si>
    <t>Nâng cấp mặt đường từ trung tâm huyện đi xã Nặm Lịch (đoạn từ Km37 QL279 - xã Nặm Lịch)</t>
  </si>
  <si>
    <t>Quyết định số 1127 /QĐ-UBND ngày 30/6/ 2022</t>
  </si>
  <si>
    <t>Dự án đã hoàn thành chưa được bố trí đủ vốn giai đoạn 2021-2025, đề nghị bố trí đủ vốn TT giá trị khối lượng hoàn thành được nghiệm thu</t>
  </si>
  <si>
    <t>Nâng cấp đường dân sinh bản Thái, xã Mường Đăng (Đoạn đỉnh đèo Tằng Quái - Bản Thái)</t>
  </si>
  <si>
    <t xml:space="preserve">Số 4148/QĐ-UBND ngày 09/11/2022 </t>
  </si>
  <si>
    <t>Nâng cấp đường Pú Súa - Ẳng Cang đi bản Huổi Lướng, xã Nặm Lịch</t>
  </si>
  <si>
    <t xml:space="preserve">Số 4149/QĐ-UBND ngày 09/11/2022 </t>
  </si>
  <si>
    <t>Nâng cấp đường từ thị trấn Mường Ảng - xã Ẳng Nưa</t>
  </si>
  <si>
    <t xml:space="preserve">Số 4150/QĐ-UBND ngày 09/11/2022 </t>
  </si>
  <si>
    <t>Trường PTDTBT Tiểu học Ẳng Tở</t>
  </si>
  <si>
    <t>4253 ngày 22/11/2022</t>
  </si>
  <si>
    <t>Xây dựng các hạng mục phụ trợ tại trường PTDTBT Tiểu học Bản Bua, xã Ẳng Tở</t>
  </si>
  <si>
    <t>4146, ngày 17/11/2023</t>
  </si>
  <si>
    <t>Xây dựng phòng học và các hạng mục phụ trợ tại trung tâm trường Tiểu học Hua Nguống, xã Ẳng Cang</t>
  </si>
  <si>
    <t>4147, ngày 17/11/2023</t>
  </si>
  <si>
    <t>Xây dựng phòng hiệu bộ và các hạng mục phụ trợ tại trung tâm trường Tiểu học Ẳng Cang</t>
  </si>
  <si>
    <t>4175, ngày 20/11/2023</t>
  </si>
  <si>
    <t>Nâng cấp các hạng mục phụ trợ tại trung tâm trường Tiểu học Ẳng Cang</t>
  </si>
  <si>
    <t>4148, ngày 17/11/2023</t>
  </si>
  <si>
    <t>Nâng cấp các hạng mục phụ trợ tại điểm trường bản Hồng Sọt thuộc trường Tiểu học Ẳng Cang</t>
  </si>
  <si>
    <t>4087, ngày 15/11/2023</t>
  </si>
  <si>
    <t>Nâng cấp các hạng mục phụ trợ tại điểm trường bản Hua Nậm thuộc trường Tiểu học Hua Nguống, xã Ẳng Cang</t>
  </si>
  <si>
    <t>4090, ngày 15/11/2023</t>
  </si>
  <si>
    <t>I.4</t>
  </si>
  <si>
    <t>HUYỆN MƯỜNG NHÉ</t>
  </si>
  <si>
    <t>Đầu tư mới công trình NSH bản Pa Tết</t>
  </si>
  <si>
    <t>Số 1343/QĐ-UBND ngày 23/11/2022</t>
  </si>
  <si>
    <t>DAHT hết KL</t>
  </si>
  <si>
    <t>Đường nội bản Pá Lùng, xã Chung Chải</t>
  </si>
  <si>
    <t>2140 ngày 15/11/2023</t>
  </si>
  <si>
    <t>Đường nội bản Húi To, xã Chung Chải</t>
  </si>
  <si>
    <t>1353 ngày 23/11/2022</t>
  </si>
  <si>
    <t>Đường nội bản Húi To 2, xã Chung Chải</t>
  </si>
  <si>
    <t>Trường PTDTBT THCS Nậm Vì, xã Nậm Vì</t>
  </si>
  <si>
    <t>2118 ngày 15/11/2023</t>
  </si>
  <si>
    <t>Dự án còn nhu cầu vốn</t>
  </si>
  <si>
    <t>I.5</t>
  </si>
  <si>
    <t>HUYỆN MƯỜNG CHÀ</t>
  </si>
  <si>
    <t xml:space="preserve">NSH bản Lùng Thàng 1+2, xã Huổi Mí </t>
  </si>
  <si>
    <t>8285/QĐ-UBND ngày 28/11/2024</t>
  </si>
  <si>
    <t>DỰ ÁN 2: Quy hoạch, sắp xếp, bố trí ổn định dân cư ở những nơi cần thiết</t>
  </si>
  <si>
    <t>Dự án di chuyển dân cư bản  Huổi Thẩu Đeng, xã Pa Ham ( nay là xã Nậm Nèn), huyện Mường Chà</t>
  </si>
  <si>
    <t>Quyết định số 1709/QĐ-UBND ngày 20/9/2021</t>
  </si>
  <si>
    <t>3.1</t>
  </si>
  <si>
    <t>Thủy lợi và NSH bản Pú Chả, xã Mường Mươn</t>
  </si>
  <si>
    <t xml:space="preserve">Số 5041/QĐ-UBND ngày 23/11/2022  </t>
  </si>
  <si>
    <t>Điều chỉnh giảm do hết nhiệm vụ chi</t>
  </si>
  <si>
    <t>Thuỷ lợi bản Huổi Nhả, xã Mường Mươn</t>
  </si>
  <si>
    <t xml:space="preserve"> Số 5046/QĐ-UBND ngày 23/11/2022  </t>
  </si>
  <si>
    <t>Nâng cấp thủy lợi Sa Lông 1, xã Sa Lông</t>
  </si>
  <si>
    <t>5839; 19/10/2023</t>
  </si>
  <si>
    <t>Thủy lợi Chì Vàng Cua Chế bản Sa Lông 2, xã Sa Lông</t>
  </si>
  <si>
    <t>Đường vào bản Ma Lù Thàng 2, xã Huổi Lèng</t>
  </si>
  <si>
    <t>Quyết định số1438/QĐ-UBND ngày 14/8/2022</t>
  </si>
  <si>
    <t>Nhà lớp học Tiểu học bản Ma Lù Thàng 2, xã Huổi Lèng</t>
  </si>
  <si>
    <t>5044-23/11/2022</t>
  </si>
  <si>
    <t>Thủy lợi Tống Sống, bản Làng Dung, xã Ma Thì Hồ</t>
  </si>
  <si>
    <t>5840; 19/10/2023</t>
  </si>
  <si>
    <t>Thủy lợi cụm 1, cụm 2, bản Huổi Lóng, xã Na Sang</t>
  </si>
  <si>
    <t>5841; 19/10/2023</t>
  </si>
  <si>
    <t>Thuỷ lợi Đề Nụ Trúng, bản Huổi Toóng, xã Huổi Lèng</t>
  </si>
  <si>
    <t>5836; 19/10/2023</t>
  </si>
  <si>
    <t xml:space="preserve">Dự án phát sinh khối lượng, sử dụng dự phòng để điều chỉnh dự án </t>
  </si>
  <si>
    <t>Thuỷ lợi Đề Chờ Chua, bản Phua Di Tổng, xã Hừa Ngài</t>
  </si>
  <si>
    <t>5829; 19/10/2023</t>
  </si>
  <si>
    <t>Thủy lợi Chung Po Chậu, bản San Súi, xã Hừa Ngài</t>
  </si>
  <si>
    <t>5830; 19/10/2023</t>
  </si>
  <si>
    <t>Đường từ QL6 (bản Hát Tre, xã Hừa Ngài) – Nhóm Tìa Chớ, bản Xà Phình 1, xã Sá Tổng</t>
  </si>
  <si>
    <t>5832; 19/10/2023</t>
  </si>
  <si>
    <t>Đường giao thông nội bản Tổ dân phố 10, thị trấn Mường Chà</t>
  </si>
  <si>
    <t>5833; 19/10/2023</t>
  </si>
  <si>
    <t>3.2</t>
  </si>
  <si>
    <t>Đường giao thông QL12 - bản Pú Chả, xã Mường Mươn</t>
  </si>
  <si>
    <t>Quyết định số 870/QĐ-UBND ngày 28/5/2021</t>
  </si>
  <si>
    <t>DỰ ÁN 5: Phát triển giáo dục đào tạo nâng cao chất lượng nguồn nhân lực</t>
  </si>
  <si>
    <t>Nhà công vụ và phòng ở nội trú trường PTDTBT Tiểu học Nậm He, huyện Mường Chà</t>
  </si>
  <si>
    <t>Quyết định số 2744/QĐ-UBND ngày 14/8/2022 của UBND huyện Mường Chà</t>
  </si>
  <si>
    <t>DỰ ÁN 6: Bảo tồn phát huy giá trị văn hóa truyền thống tốt đẹp của các dân tộc thiểu số gắn với phát triển du lịch</t>
  </si>
  <si>
    <t>Nhà Văn hóa bản Huổi Bon xã Pa Ham</t>
  </si>
  <si>
    <t>5833;  19/10/2023</t>
  </si>
  <si>
    <t>I.6</t>
  </si>
  <si>
    <t>HUYỆN TỦA CHÙA</t>
  </si>
  <si>
    <t>Nước sinh hoạt thôn 3, xã Lao Xả Phình, huyện Tủa Chùa</t>
  </si>
  <si>
    <t>Số 2939 QĐ-UBND ngày 06/12/2022</t>
  </si>
  <si>
    <t>Đường Nhù Pông Chua đi thôn 3 xã Sính Phình</t>
  </si>
  <si>
    <t>2945 ngày 06/12/2022</t>
  </si>
  <si>
    <t>Mở mới tuyến đường từ Đở Áng Đàng đi thôn Phiêng Páng, xã Sính Phình</t>
  </si>
  <si>
    <t>2946 ngày 6/12/2023</t>
  </si>
  <si>
    <t>Nâng cấp tuyến đường nội thôn Bản Hẹ, xã Xá Nhè</t>
  </si>
  <si>
    <t>3031 ngày 14/11/2023</t>
  </si>
  <si>
    <t>Nâng cấp tuyến đường nội thôn Nà Sa từ ông Thào A Lử đến nhà ông Giàng A Hạng, xã Tả Phìn</t>
  </si>
  <si>
    <t>2947 ngày 06/12/2022</t>
  </si>
  <si>
    <t>Nâng cấp tuyến đường giao thông cổng thôn văn hóa thôn 3 đến nhà ông Ly Sáu Thanh, xã Lao Xả Phình</t>
  </si>
  <si>
    <t>3032 ngày 14/11/2023</t>
  </si>
  <si>
    <t>Nâng cấp đường từ nhà ông Ly A Dè ra khu sản xuất Táng Tò thôn 1 xã Lao Xả Phình</t>
  </si>
  <si>
    <t>3072 ngày 21/11/2023</t>
  </si>
  <si>
    <t>Đường nội thôn Pàng Dề A, xã Xá Nhè</t>
  </si>
  <si>
    <t>3055 ngày 15/11/2023</t>
  </si>
  <si>
    <t>Nâng cấp tuyến đường từ Đợi Khó Sì đi Làng Sảng 2, xã Tả Sín Thàng</t>
  </si>
  <si>
    <t>3079 ngày 21/11/2023</t>
  </si>
  <si>
    <t xml:space="preserve">Đường giao thông nội thôn Quyết Tiến, thị trấn Tủa Chùa </t>
  </si>
  <si>
    <t>3057 ngày 15/11/2023</t>
  </si>
  <si>
    <t>Đường ra khu sản xuất thôn Đề Bâu, xã Trung Thu</t>
  </si>
  <si>
    <t>3034 ngày 14/11/2023</t>
  </si>
  <si>
    <t>Nâng đường nội thôn Háng Tơ Mang, xã Mường Báng</t>
  </si>
  <si>
    <t>3035 ngày 14/11/2023</t>
  </si>
  <si>
    <t>Nâng cấp tuyến đường từ Háng Sùa đi Tà Dê, xã Tả Sín Thàng</t>
  </si>
  <si>
    <t>3058 ngày 16/11/2023</t>
  </si>
  <si>
    <t>Nâng cấp tuyến đường từ trung tâm xã - thông Háng Là, xã Sín Chải</t>
  </si>
  <si>
    <t>2948 ngày 06/12/2022</t>
  </si>
  <si>
    <t>Bổ sung, nâng cấp trường Tiểu học và THCS Lao Xả Phình, xã Lao Xả Phình</t>
  </si>
  <si>
    <t>2950 ngày 06/12/2022</t>
  </si>
  <si>
    <t>Bổ sung, nâng cấp các trường Tiểu học và THCS trên địa bàn xã Tả Phìn</t>
  </si>
  <si>
    <t>2951 ngày 06/12/2022</t>
  </si>
  <si>
    <t>I.7</t>
  </si>
  <si>
    <t>HUYỆN NẬM PỒ</t>
  </si>
  <si>
    <t>1.1</t>
  </si>
  <si>
    <t>Nhà văn hoá bản Phi Lĩnh 1.2 xã Si Pa Phìn</t>
  </si>
  <si>
    <t>QĐ số 2365/QĐ-UBND 23/11/2022  của UBND huyện Nậm Pồ</t>
  </si>
  <si>
    <t>Nhà văn hoá bản Pú Đao, Chế Nhù, xã Si Pa Phìn</t>
  </si>
  <si>
    <t>QĐ số 2366/QĐ-UBND 23/11/2022  của UBND huyện Nậm Pồ</t>
  </si>
  <si>
    <t>Nâng cấp, sửa chữa nước sinh hoạt bàn Huổi Sâu xã Pa Tần</t>
  </si>
  <si>
    <t>Quyết định số 308/QĐ-UBND ngày 28/02/2023</t>
  </si>
  <si>
    <t>Chương trình MTQG Xây dựng nông thôn mới</t>
  </si>
  <si>
    <t xml:space="preserve"> Nâng cấp đường bê tông lên khu sản xuất Pha 1, bản Nà nghè, xã Thanh Minh</t>
  </si>
  <si>
    <t>1668/QĐ-UBND ngày 19/10/2023</t>
  </si>
  <si>
    <t xml:space="preserve">Dự án còn thiếu vốn để thanh toán các chi phí </t>
  </si>
  <si>
    <t>Đường điện bản Háng Tầu, xã Chiềng Sơ, huyện Điện Biên Đông</t>
  </si>
  <si>
    <t>1622/QĐ-UBND ngày 12/9/2023</t>
  </si>
  <si>
    <t>Đường nội bản Co Hắm, xã Ẳng Nưa</t>
  </si>
  <si>
    <t>4081, ngày 15/11/2023</t>
  </si>
  <si>
    <t>DA hoàn thành, hết nhu cầu vốn TT</t>
  </si>
  <si>
    <t>Đường đi khu sản xuất bản Tát Hẹ, xã Ẳng Nưa (Giai đoạn 1)</t>
  </si>
  <si>
    <t>4082, ngày 15/11/2023</t>
  </si>
  <si>
    <t>24-25</t>
  </si>
  <si>
    <t>Các dự án khởi công năm 2024</t>
  </si>
  <si>
    <t>4.</t>
  </si>
  <si>
    <t>2023-2024</t>
  </si>
  <si>
    <t>3.</t>
  </si>
  <si>
    <t>Hiện đang dừng thực hiện theo Văn bản số 775/UBND-TH, ngày 03/3/2025 của UBND tỉnh</t>
  </si>
  <si>
    <t>Số 256/QĐ-UBND, ngày 26/12/2024</t>
  </si>
  <si>
    <t>Nhà văn hóa thể thao và các hạng mục phụ trợ xã Mường Nhà, huyện Điện Biên</t>
  </si>
  <si>
    <t>2.</t>
  </si>
  <si>
    <t>2023</t>
  </si>
  <si>
    <t>1.</t>
  </si>
  <si>
    <t>Hệ thống cấp nước trung tâm xã Ta Ma</t>
  </si>
  <si>
    <t>8.</t>
  </si>
  <si>
    <t>Nhu cầu thực tế</t>
  </si>
  <si>
    <t>Nâng cấp tuyến đường từ Đợi Khó Sì đi Làng Sảng 2, xã Tả Sìn Thàng</t>
  </si>
  <si>
    <t>3037 ngày 14/11/2023</t>
  </si>
  <si>
    <t>Nâng cấp tuyến đường giao thông nội thôn Háng Cu Tâu, xã Trung Thu</t>
  </si>
  <si>
    <t>4.525</t>
  </si>
  <si>
    <t>4.000</t>
  </si>
  <si>
    <t>2939 ngày 06/12/2022</t>
  </si>
  <si>
    <t>3229 ngày 14/12/2021</t>
  </si>
  <si>
    <t>Tuyến đường từ Sính Phình - Trung Thu - Lao Xả Phình - Tả Sìn Thàng (Trung tâm xã Trung Thu đi Bản Phô - Cáng Phình), huyện Tủa Chùa</t>
  </si>
  <si>
    <t>7.</t>
  </si>
  <si>
    <t>6.</t>
  </si>
  <si>
    <t>10/2023-12/2023</t>
  </si>
  <si>
    <t>1354 ngày 23/11/2022</t>
  </si>
  <si>
    <t>2024</t>
  </si>
  <si>
    <t>4/2024-8/2024</t>
  </si>
  <si>
    <t>1343 ngày 23/11/2022</t>
  </si>
  <si>
    <t xml:space="preserve"> Đầu tư mới CT nước sinh hoạt bản Pa Tết</t>
  </si>
  <si>
    <t>1341 ngày 23/11/2022</t>
  </si>
  <si>
    <t xml:space="preserve"> ĐT mới CT nước SH bản Huổi Lích 1 (nhóm 2)</t>
  </si>
  <si>
    <t>5.</t>
  </si>
  <si>
    <t>2024;2025</t>
  </si>
  <si>
    <t>Nhà Văn hóa bản Huổi Bon, xã Pa Ham, huyện Mường Chà</t>
  </si>
  <si>
    <t>Dự án 6: Bảo tồn phát huy giá trị văn hoá truyền thồng tốt đẹp của các dân tộc</t>
  </si>
  <si>
    <t>764; 16/3/2025</t>
  </si>
  <si>
    <t>Nhà vệ sinh trường PTDTBT THCS Ma Thì Hồ</t>
  </si>
  <si>
    <t>763; 16/3/2025</t>
  </si>
  <si>
    <t>Nhà vệ sinh trường PTDTBT Tiểu học Ma Thì Hồ</t>
  </si>
  <si>
    <t>2744-14/8/2022</t>
  </si>
  <si>
    <t>Dự án 5: Phát triển giáo dục đào tạo nâng cao chất lượng nguồn nhân lực</t>
  </si>
  <si>
    <t>Đường từ QL6 (bản Hát Tre, xã Hừa Ngài) - Nhóm Tìa Chớ, bản Xà Phình 1, xã Sá Tổng</t>
  </si>
  <si>
    <t>5828; 19/10/2023</t>
  </si>
  <si>
    <t>Thủy lợi Chì Vàng Cua Chế, bản Sa Lông 2, xã Sa Lông</t>
  </si>
  <si>
    <t>Nhà lớp học tiểu học bản Ma Lù Thàng 2, xã Huổi Lèng, huyện Mường Chà</t>
  </si>
  <si>
    <t>2023; 2024</t>
  </si>
  <si>
    <t>5046-23/11/2022</t>
  </si>
  <si>
    <t>Thuỷ lợi bản Huổi Nhả, xã Mường Mươn, huyện Mường Chà</t>
  </si>
  <si>
    <t>5401-23/11/2022</t>
  </si>
  <si>
    <t>Thủy lợi và NSH bản Pú Chả, xã Mường Mươn, huyện Mường Chà</t>
  </si>
  <si>
    <t>2022</t>
  </si>
  <si>
    <t>2022; 2024</t>
  </si>
  <si>
    <t>1438-14/8/2022</t>
  </si>
  <si>
    <t>Đường vào bản Ma Lù Thàng 2, xã Huổi Lèng, huyện Mường Chà</t>
  </si>
  <si>
    <t>870-28/5/2021</t>
  </si>
  <si>
    <t>Đường giao thông QL12 - bản Pú Chả, xã Mường Mươn, huyện Mường Chà</t>
  </si>
  <si>
    <t>2023; 2025</t>
  </si>
  <si>
    <t>1437-14/8/2022</t>
  </si>
  <si>
    <t>Dự án di chuyển dân ra khỏi vùng thiên tai Bản Huổi Tóong 1, 2 xã Huổi Lèng, huyện Mường Chà</t>
  </si>
  <si>
    <t>1709-20/9/2021</t>
  </si>
  <si>
    <t>Dự án di chuyển dân cư bản Huổi Thẩu Đeng xã Pa Ham (Nay là xã Nậm Nền), huyện Mường Chà.</t>
  </si>
  <si>
    <t>Dự án 2: Quy hoạch, sắp xếp, bố trí ổn định dân cư ở những nơi cần thiết</t>
  </si>
  <si>
    <t>2025; 2026</t>
  </si>
  <si>
    <t>8295/QĐ-UBND ngày 29/11/2024</t>
  </si>
  <si>
    <t xml:space="preserve">Nước sinh hoạt bản Hin 1, Hin 2 + NSH cụm Pu Ca bản Huổi Xuân, xã Na Sang  </t>
  </si>
  <si>
    <t>5664; 09/10/2023</t>
  </si>
  <si>
    <t>NSH bản Xà Phình 1+2, xã Sá Tổng</t>
  </si>
  <si>
    <t>5837; 19/10/2023</t>
  </si>
  <si>
    <t>NSH trung tâm xã Mường Mươn</t>
  </si>
  <si>
    <t>Dự án 1: Giải quyết tình trạng thiếu đất ở, nhà ở, đất sản xuất, nước sinh hoạt</t>
  </si>
  <si>
    <t>Nâng cấp các hạng mục phụ trợ tại điểm trường bản Hồng Sọt thuộc trường Tiêu học Ẳng Cang</t>
  </si>
  <si>
    <t>4174, ngày 20/11/2023</t>
  </si>
  <si>
    <t>Xây dựng phòng học trường THCS Ẳng Tở</t>
  </si>
  <si>
    <t>23-24</t>
  </si>
  <si>
    <t>Các dự án khởi công năm 2023</t>
  </si>
  <si>
    <t>4150 ngày 9/11/2022</t>
  </si>
  <si>
    <t>4149 ngày 9/11/2022</t>
  </si>
  <si>
    <t>4148 ngày 9/11/2022</t>
  </si>
  <si>
    <t>23-25</t>
  </si>
  <si>
    <t>4147 ngày 9/11/2022</t>
  </si>
  <si>
    <t>DA chưa được bố trí đủ vốn TT khối lượng hoàn thành</t>
  </si>
  <si>
    <t>22-25</t>
  </si>
  <si>
    <t>1127 ngày 30/6/2022</t>
  </si>
  <si>
    <t>Nâng cấp mặt đường từ trung tâm huyện đi Nặm Lịch (đoạn từ Km37 QL279 - Nặm Lịch)</t>
  </si>
  <si>
    <t>Nhà Văn Hóa bản Có, xã Mường Lạn</t>
  </si>
  <si>
    <t>DA đã thi công xong nhưng còn thiếu vốn</t>
  </si>
  <si>
    <t>Đường sang khu dân cư và sản xuất bản Nong Pom Phai, xã Ngối Cáy, huyện Mường Ảng, tỉnh Điện Biên</t>
  </si>
  <si>
    <t>Đường liên bản Pá Cha (Ten) nhà ông Hợp, xã Ẳng Tở</t>
  </si>
  <si>
    <t>Đường nội bản Co Có (nhánh 1: Từ ngã ba nhà ông Kỹ đường đi xã Nặm Lịch đến nhà ông Nhân; Nhánh 2: Từ nhà ông Hùng đến nhà ông Thư), xã Ẳng Tở</t>
  </si>
  <si>
    <t>Nhà văn hóa bản Pú Cai, xã Ẳng Cang</t>
  </si>
  <si>
    <t>Nhà Văn hóa bản Pom Ké + Hua Nguống, xã Ẳng Cang</t>
  </si>
  <si>
    <t>4145 ngày 9/11/2022</t>
  </si>
  <si>
    <t>Xã khu vực III</t>
  </si>
  <si>
    <t>4144, ngày 9/11/2022</t>
  </si>
  <si>
    <t>2922, ngày 14/7/2022</t>
  </si>
  <si>
    <t>Nâng cấp, bổ sung trường PTDTBT THCS Keo Lôm</t>
  </si>
  <si>
    <t>Nâng cấp, bổ sung trường PTDTBT Tiểu học Keo Lôm</t>
  </si>
  <si>
    <t>Nâng cấp, bổ sung trường PTDTBT Tiểu học Sư Lư</t>
  </si>
  <si>
    <t>Nâng cấp, bổ sung trường PTDTBT Tiểu học Phì Nhừ</t>
  </si>
  <si>
    <t>Nâng cấp, bổ sung trường PTDTBT THCS Nong U</t>
  </si>
  <si>
    <t>Nâng cấp bổ sung trường PTDTBT Tiểu học và THCS Na Son</t>
  </si>
  <si>
    <t>Nâng cấp bổ sung trường PTDTBT Tiểu học và THCS Mường Luân</t>
  </si>
  <si>
    <t>Nâng cấp bổ sung trường PTDTBT Tiểu học Luân Giói</t>
  </si>
  <si>
    <t>Nâng cấp đường giao thông bản Thẩm Trẩu - Háng Sông dưới</t>
  </si>
  <si>
    <t>Nâng cấp đường từ Na Ngua xã Luân Giói- Chiềng En (huyện Sông Mã)</t>
  </si>
  <si>
    <t>Nâng cấp, bổ sung trường PTDTBT Tiểu học Quang Trung</t>
  </si>
  <si>
    <t>Xây mới chợ Pu Nhi</t>
  </si>
  <si>
    <t>Đường bê tông bản Từ xa B xã Phì Nhừ, huyện Điện Biên Đông</t>
  </si>
  <si>
    <t>Đường bê tông ngã 3 Háng Lìa đến bản Tào La (Giai đoạn 2)</t>
  </si>
  <si>
    <t>Đường vào khu Pà Lâu bản Xa Vua A xã Phình Giàng</t>
  </si>
  <si>
    <t>Đường bê tông bản Tìa Ghênh A- Tìa Ghênh B xã Keo Lôm</t>
  </si>
  <si>
    <t>Đường giao thông bản Từ Xa B - Bản Trống Sư A xã Phì Nhừ</t>
  </si>
  <si>
    <t>Nâng cấp đường giao thông bản Lọng Chuông-Ho Cớ, xã Na Son, huyện Điện Biên Đông,tỉnh Điện Biên</t>
  </si>
  <si>
    <t>1756/QĐ-UBND ngày 29/9/2023</t>
  </si>
  <si>
    <t>Đường điện bản Huổi Hịa, xã Xa Dung</t>
  </si>
  <si>
    <t>1998/QĐ-UBND ngày 03/11/2021</t>
  </si>
  <si>
    <t>Nâng cấp, bổ sung Trường PTDT bán trú Tiểu học và THCS Tìa Dình, xã Tìa Dình</t>
  </si>
  <si>
    <t>1835/QĐ-UBND ngày 20/9/2022</t>
  </si>
  <si>
    <t>Nâng cấp đường Keo Lôm - Trung Sua</t>
  </si>
  <si>
    <t>3342/QĐ-UBND ngày 29/12/2021</t>
  </si>
  <si>
    <t>Ngầm tràn liên hợp Huổi Va B, xã Háng Lìa, huyện Điện Biên Đông</t>
  </si>
  <si>
    <t xml:space="preserve">7880/QĐ-UBND, ngày 19/9/2024 </t>
  </si>
  <si>
    <t>Đường giao thông liên xã bản Pá Hịa, Nậm Mắn A,B (xã Chiềng Sơ) - bản Na Lại (xã Luân Giói)</t>
  </si>
  <si>
    <t>Đường giao thông nội bản (Pá Hịa + Huổi Hu + Pá Nậm), xã Chiềng Sơ, huyện Điện Biên Đông</t>
  </si>
  <si>
    <t>0</t>
  </si>
  <si>
    <t>Hệ thống điện sinh hoạt (bản Nậm Ma, Ao Cá, Mường Ten, Tồng Sớ), xã Pú Hồng</t>
  </si>
  <si>
    <t>Hệ thống điện sinh hoạt bản Phì Cao, xã Phình Giàng, huyện Điện Biên Đông</t>
  </si>
  <si>
    <t>Hệ thống điện sinh hoạt bản Bắng Chộc, xã Na Son, huyện Điện Biên Đông</t>
  </si>
  <si>
    <t>Bổ sung KH vốn năm 2025 để TH dự án</t>
  </si>
  <si>
    <t>Số 244, ngày 29/11/2024</t>
  </si>
  <si>
    <t>Nhà văn hóa + các công trình phụ trợ bản Chiềng Tông xã Thanh Yên, huyện Điện Biên</t>
  </si>
  <si>
    <t>Dự án đã hoàn thành hết nhiệm vụ chi</t>
  </si>
  <si>
    <t>Số 3198, ngày 06/11/2023</t>
  </si>
  <si>
    <t>Đường giao thông từ ngã 3 Tin Lán-Huổi Hua lên đầu bản Tin Lán xã Núa Ngam</t>
  </si>
  <si>
    <t>Số 173, ngày 16/10/2023</t>
  </si>
  <si>
    <t>Đường bê tông nội bản On xã Noong Luống</t>
  </si>
  <si>
    <t>Số 118, ngày 31/10/2023</t>
  </si>
  <si>
    <t>Đường giao thông nội bản Nà Ten, Nà Hý, Bản Tâu, bản Xá Nhù, bản Sáng xã Hua Thanh</t>
  </si>
  <si>
    <t xml:space="preserve">Số 102, ngày 27/9/2023 của UBND xã </t>
  </si>
  <si>
    <t>Đường nội thôn bản, bản Phiêng Ban xã Thanh An</t>
  </si>
  <si>
    <t xml:space="preserve">Số 2853, ngày 5/10/2023 </t>
  </si>
  <si>
    <t>Làm máng tiêu thoát nước dọc hai bên bờ đường từ nhà ông Chính đến nhà ông Muôn bản Lún xã Noong Luống</t>
  </si>
  <si>
    <t>Số 110, ngày 01/11/2023</t>
  </si>
  <si>
    <t>Đường nội đồng, đường nghĩa trang bản Na Lao, xã Sam Mứn</t>
  </si>
  <si>
    <t>Số 2845, ngày 03/10/2023</t>
  </si>
  <si>
    <t xml:space="preserve">Cầu BTCT, cầu tràn BTCT bản Huổi Không, bản Co Đứa, bản Huổi Chon xã Mường Lói </t>
  </si>
  <si>
    <t>Số 3438, ngày 24/11/2023</t>
  </si>
  <si>
    <t>Cấp điện tổng thể bản Xa Cuông xã Pa Thơm</t>
  </si>
  <si>
    <t>Số 3439, ngày 23/11/2023</t>
  </si>
  <si>
    <t>Cấp điện tổng thể bản Pa Xa Xá xã Pa Thơm</t>
  </si>
  <si>
    <t>Dự án 4: Đầu tư cơ sở hạ tầng thiết yếu, phục vụ sản suất , đời sống trong vùng đồng bào dân tộc thiểu số và MN và các đơn vị sự nghiệp công của lĩnh vực dân tộc</t>
  </si>
  <si>
    <t>2023 - 20224</t>
  </si>
  <si>
    <t xml:space="preserve"> Số 393, ngày 24/3/2023 </t>
  </si>
  <si>
    <t>Nước sinh hoạt bản Pom Khoang, xã Thanh Nưa</t>
  </si>
  <si>
    <t>Số 1592, ngày 10/7/2024</t>
  </si>
  <si>
    <t>Hỗ trợ nhà ở</t>
  </si>
  <si>
    <t>Số 2213/QĐ-UBND ngày 02/12/2022</t>
  </si>
  <si>
    <t>Đường liên xã Rạng Đông - Nà Tòng</t>
  </si>
  <si>
    <t>Số 1428/QĐ-UBND ngày 14/8/2022</t>
  </si>
  <si>
    <t>2022-2025</t>
  </si>
  <si>
    <t>Số 1427/QĐ-UBND ngày 14/8/2022</t>
  </si>
  <si>
    <t>Dự án 1:Hỗ trợ đầu tư phát triển hạ tầng kinh tế - xã hội các huyện nghèo, các xã đặc biệt khó khăn vùng bãi ngang, ven biển và hải đảo</t>
  </si>
  <si>
    <t>2022-2023</t>
  </si>
  <si>
    <t>1421/QĐ-UBND ngày 14/08/2022</t>
  </si>
  <si>
    <t>Cải tạo, nâng cấp PKĐK KV Tả Sìn Thàng, huyện Tủa Chùa</t>
  </si>
  <si>
    <t>1416/QĐ-UBND ngày 13/8/2022</t>
  </si>
  <si>
    <t>1415 ngày 13/8/2022</t>
  </si>
  <si>
    <t>1414 ngày 13/8/2022</t>
  </si>
  <si>
    <t>Tuyến đường Tả Sìn Thàng - Páo Tỉnh Làng - Sáng Tớ đi Sín Chải, Huổi Só</t>
  </si>
  <si>
    <t>1413 ngày 13/8/2022</t>
  </si>
  <si>
    <t>1409/QĐ-UBND ngày 13/8/2022</t>
  </si>
  <si>
    <t>1196/QĐ-UBND ngày 11/7/2022</t>
  </si>
  <si>
    <t>824 ngày 11/8/2022</t>
  </si>
  <si>
    <t>Nâng cấp, sửa chữa Trường phổ thông DTBT THCS Mường Toong</t>
  </si>
  <si>
    <t>2025-2027</t>
  </si>
  <si>
    <t>821 ngày 11/8/2022</t>
  </si>
  <si>
    <t>823 ngày 11/8/2022</t>
  </si>
  <si>
    <t>Nâng cấp, sửa chữa Trường Tiểu học Leng Su Sìn</t>
  </si>
  <si>
    <t>822 ngày 11/8/2022</t>
  </si>
  <si>
    <t>Nâng cấp, sửa chữa Trường Tiểu học Trần Văn Thọ</t>
  </si>
  <si>
    <t>1425/QĐ-UBND ngày 14/8/2022</t>
  </si>
  <si>
    <t>Nâng cấp, sửa chữa Trường PTDTBT Tiểu học Na Sang, xã Na Sang, huyện Mường Chà</t>
  </si>
  <si>
    <t>2024; 2025</t>
  </si>
  <si>
    <t>Xây mới Trường PTDTBT Tiểu học Mường Anh, xã Pa Ham, huyện Mường Chà</t>
  </si>
  <si>
    <t>Nâng cấp, sửa chữa Trường Tiểu học Mường Mươn, xã Mường Mươn, xã Mường Mươn, huyện Mường Chà</t>
  </si>
  <si>
    <t>1997-14/7/2022</t>
  </si>
  <si>
    <t>Nâng cấp đường giao thông xã Na Sang - xã Mường Mươn (Điểm đầu tuyến từ bản Hin 1, xã Na Sang - điểm cuối  tuyến bản Huổi Nhả, xã Mường Mươn), huyện Mường Chà</t>
  </si>
  <si>
    <t>2022; 2025</t>
  </si>
  <si>
    <t>1224-13/7/2022</t>
  </si>
  <si>
    <t>1411, ngày 13/8/2022</t>
  </si>
  <si>
    <t>Đường liên xã Mường Đăng - Ngối Cáy (tử bản Chan I đi Chan II xã Mường Đăng đi Chan III, xã Ngối Cáy)</t>
  </si>
  <si>
    <t>Các dự án khởi công năm 2022</t>
  </si>
  <si>
    <t>TIỂU DỰ ÁN 2 - Dự án 1: Hỗ trợ đầu tư phát triển hạ tầng kinh tế - xã hội các huyện nghèo</t>
  </si>
  <si>
    <t>c)</t>
  </si>
  <si>
    <t>4140 ngày 9/11/2022</t>
  </si>
  <si>
    <t>4252 ngày 22/11/2022</t>
  </si>
  <si>
    <t>Nhà lớp học và các hạng mục phụ trợ trường PTDTBTTH bản Bua, xã Ẳng Tở</t>
  </si>
  <si>
    <t>4251 ngày 22/11/2022</t>
  </si>
  <si>
    <t>Phòng học bộ môn + nhà nội trú và các hạng mục phụ trợ Trường THCS Ngối Cáy</t>
  </si>
  <si>
    <t>4250 ngày 22/11/2022</t>
  </si>
  <si>
    <t>Trường tiểu học xã Ngối Cáy</t>
  </si>
  <si>
    <t xml:space="preserve"> 2879, ngày 11/7/2022 </t>
  </si>
  <si>
    <t>Đường liên xã Nặm Lịch - Mường Lạn (Từ bản Lịch Cang, xã Nặm Lịch sang bản Huổi Ly, xã Mường Lạn)</t>
  </si>
  <si>
    <t>1422/QĐ-UBND ngày 14/8/2022</t>
  </si>
  <si>
    <t>Cải tạo, nâng cấp PKĐK KV Búng Lao, huyện Mường Ảng</t>
  </si>
  <si>
    <t>22-24</t>
  </si>
  <si>
    <t>1410, ngày 13/8/2022</t>
  </si>
  <si>
    <t>Trường mầm non Hoa Hồng, thị trấn Mường Ảng</t>
  </si>
  <si>
    <t xml:space="preserve"> 2880, ngày 11/7/2022 </t>
  </si>
  <si>
    <t>Đường liên xã Ẳng Nưa - Ẳng Cang, huyện Mường Ảng</t>
  </si>
  <si>
    <t>2911, ngày 13/7/2022</t>
  </si>
  <si>
    <t>Sửa chữa sân và các hạng mục phụ trợ khu trung tâm hành chính huyện (tổ chức các sự kiện văn hóa, văn nghệ, thể dục thể thao của huyện)</t>
  </si>
  <si>
    <t>2881, ngày 11/7/2022</t>
  </si>
  <si>
    <t>2878, ngày 11/7/2022</t>
  </si>
  <si>
    <t>2877, ngày 11/7/2022</t>
  </si>
  <si>
    <t xml:space="preserve">Xây dựng nhà lớp học và các hạng mục phụ trợ TrườngTiểu học Ẳng Nưa </t>
  </si>
  <si>
    <t>2876, ngày 11/7/2022</t>
  </si>
  <si>
    <t>2875, ngày 11/7/2022</t>
  </si>
  <si>
    <t>TIỂU DỰ ÁN 1 - Dự án 1: Hỗ trợ đầu tư phát triển hạ tầng kinh tế - xã hội các huyện nghèo</t>
  </si>
  <si>
    <t>1426/QĐ-UBND ngày 14/8/2022</t>
  </si>
  <si>
    <t>Số 1956/QĐ-UBND ngày 30/11/2023</t>
  </si>
  <si>
    <t xml:space="preserve">Hệ thống điện sinh hoạt các xã Na Son, Xa Dung (bản Tìa Ló, Trung Phu, xã Na Son; bản Ca Tâu, xã Xa Dung) </t>
  </si>
  <si>
    <t>1442/QĐ-UBND
ngày 14/8/2022</t>
  </si>
  <si>
    <t>Nâng cấp, cải tạo nhà ký túc xá 3 tầng Trường Cao đẳng nghề Điện Biên</t>
  </si>
  <si>
    <t>1405/QĐ-UBND ngày13/8/2022</t>
  </si>
  <si>
    <t>Nâng cấp, cải tạo nhà hiệu bộ Trường Cao đẳng nghề Điện Biên</t>
  </si>
  <si>
    <t>1440/QĐ-UBND
ngày 14/8/2022</t>
  </si>
  <si>
    <t>Nâng cấp, cải tạo các hạng mục phụ trợ: Cổng, nhà bảo vệ, sân, tường rào và rãnh thoát nước nội bộ Trường Cao đẳng nghề Điện Biên</t>
  </si>
  <si>
    <t>Trường Cao đẳng nghề</t>
  </si>
  <si>
    <t>Cải tạo, sửa chữa, nâng cấp, bổ sung trang thiết bị nhà ký túc xá 3 tầng HSSV khu A Trường Cao đẳng y tế Điện Biên</t>
  </si>
  <si>
    <t>Trường Cao đẳng Y tế</t>
  </si>
  <si>
    <t>Chương trình MTQG giảm nghèo bền vững</t>
  </si>
  <si>
    <t>Trong đó: vốn NSTW - CTMTQG</t>
  </si>
  <si>
    <t>Tống số (tất cả các nguồn vốn)</t>
  </si>
  <si>
    <t xml:space="preserve"> Tăng</t>
  </si>
  <si>
    <t>Kế hoạch vốn năm 2025 sau điều chỉnh</t>
  </si>
  <si>
    <t>TMĐT</t>
  </si>
  <si>
    <t>Ước giải ngân đến 30/4/2025</t>
  </si>
  <si>
    <t xml:space="preserve"> Điều chỉnh kế hoạch năm 2025 
(vốn Chương trình MTQG)</t>
  </si>
  <si>
    <t xml:space="preserve">Kế hoạch vốn NSTW-CTMTQG năm 2025 </t>
  </si>
  <si>
    <t>Năm bắt đầu bố trí vốn</t>
  </si>
  <si>
    <t>Thời gian khởi công - hoàn thành</t>
  </si>
  <si>
    <t xml:space="preserve"> ĐIỀU CHỈNH KẾ HOẠCH NĂM 2025 VÀ VỐN KÉO DÀI CÁC NĂM TRƯỚC CHUYỂN SANG NĂM 2025 CỦA 03 CHƯƠNG TRÌNH MỤC TIÊU QUỐC GIA: GIẢM NGHÈO BỀN VỮNG, PHÁT TRIỂN KINH TẾ XÃ HỘI VÙNG ĐÔNG BÀO DÂN TỘC THIỂU SỐ VÀ MIỀN NÚI, XÂY DỰNG NÔNG THÔN MỚI</t>
  </si>
  <si>
    <t>Biểu số 5</t>
  </si>
  <si>
    <t>Khu xử lý rác thải rắn sinh hoạt xã Búng Lao, huyện Mường Ảng</t>
  </si>
  <si>
    <t>Xây dựng xã nông thôn mới thông minh hoặc xã thương mại điện tử xã Noong Hẹt, huyện Điện Biên, tỉnh Điện Biên</t>
  </si>
  <si>
    <t>Chưa có QĐ ĐT</t>
  </si>
  <si>
    <t xml:space="preserve"> Đã giao 500tr vốn NSĐP</t>
  </si>
  <si>
    <t>QĐ số 26/QĐ-UBND, ngày 07/01/2025</t>
  </si>
  <si>
    <t>QĐ số 66/QĐ-UBND, ngày 13/01/2025</t>
  </si>
  <si>
    <t>QĐ số 27/QĐ-UBND, ngày 07/01/2025</t>
  </si>
  <si>
    <t>QĐ số 67/QĐ-UBND, ngày 13/01/2025</t>
  </si>
  <si>
    <t>QĐ số 68/QĐ-UBND, ngày 13/01/2025</t>
  </si>
  <si>
    <t>685/QĐ-UBND ngày 10/4/2025</t>
  </si>
  <si>
    <t>Sở Lao động, Thương binh và Xã hội (cũ)</t>
  </si>
  <si>
    <t>pu cai</t>
  </si>
  <si>
    <t>Lồng ghép vốn NSĐP</t>
  </si>
  <si>
    <t>I.8</t>
  </si>
  <si>
    <t>764/QĐ-UBND ngày 21/4/2025</t>
  </si>
  <si>
    <t xml:space="preserve"> 761/QĐ-UBND ngày 21/4/2025</t>
  </si>
  <si>
    <t xml:space="preserve"> 762/QĐ-UBND ngày 21/4/2025</t>
  </si>
  <si>
    <t xml:space="preserve"> 763/QĐ-UBND ngày 21/4/2025</t>
  </si>
  <si>
    <t xml:space="preserve"> 741QĐ-UBND ngày 16/4/2025</t>
  </si>
  <si>
    <t xml:space="preserve"> 742QĐ-UBND ngày 16/4/2025</t>
  </si>
  <si>
    <t xml:space="preserve"> 743QĐ-UBND ngày 16/4/2025</t>
  </si>
  <si>
    <t xml:space="preserve"> 760/QĐ-UBND ngày 21/4/2025</t>
  </si>
  <si>
    <t>1110/QĐ-UBND ngày 17/7/2023</t>
  </si>
  <si>
    <t>2210/QĐ-UBND ngày 02/12/2022</t>
  </si>
  <si>
    <t>1547/QĐ-UBND ngày 20/9/2023</t>
  </si>
  <si>
    <t>Kè bảo vệ khu dân cư, đất sản xuất và công trình công cộng suối Nậm Cọ, huyện Điện Biên</t>
  </si>
  <si>
    <t>Số 862/QĐ-UBND ngày 28/5/2021</t>
  </si>
  <si>
    <t>Kế hoạch trung hạn NSTW 2021-2025 đã giao</t>
  </si>
  <si>
    <t>Đã giao 4.839tr vốn NSĐP; bố trí dứt điểm</t>
  </si>
  <si>
    <t>Lũy kế vốn NSTW - CTMTQG đã giao hết năm 2025</t>
  </si>
  <si>
    <t xml:space="preserve"> Cải tạo, nâng cấp trường PTDTBT tiểu học xã Hừa Ngài </t>
  </si>
  <si>
    <t xml:space="preserve"> Cải tạo, nâng cấp trường PTDTBT THCS Na Sang </t>
  </si>
  <si>
    <t xml:space="preserve"> Cải tạo, nâng cấp trường Mầm non xã Hừa Ngài</t>
  </si>
  <si>
    <t>Cải tạo, sửa chữa TTYT thị xã Mường Lay</t>
  </si>
  <si>
    <t>Dự án đã quyết toán dự án hoàn thành; thiếu chi phí quyết toán</t>
  </si>
  <si>
    <t>Dự án đã thi công xong nhưng còn thiếu vốn thanh toán khối lượng hoàn thành</t>
  </si>
  <si>
    <t>Lồng ghép 25.039 triệu đồng vốn NSĐP</t>
  </si>
  <si>
    <t>Lồng ghép CTMTQG</t>
  </si>
  <si>
    <t>Bổ sung Lồng ghép
 CTMTQG</t>
  </si>
  <si>
    <t>Hết nhu cầu SD (chênh lệch thuế, chênh lệch dự toán - giá trúng thầu - nghiệm thu, dự phòng)</t>
  </si>
  <si>
    <t>Lồng ghép vốn Dự án 4, bố trí dứt điểm trung hạn</t>
  </si>
  <si>
    <t>Hiện đang dừng thực hiện theo VB số 775/UBND-TH, ngày 03/3/2025 của UBND tỉnh</t>
  </si>
  <si>
    <t>Thanh toán dứt điểm</t>
  </si>
  <si>
    <t>đã Quyết toán còn thiếu 95trđ</t>
  </si>
  <si>
    <t>Lồng ghép CTMTQG giảm nghèo bền vững</t>
  </si>
  <si>
    <t>Lồng ghép 
Dự án 4</t>
  </si>
  <si>
    <t>Hết nhiệm 
vụ chi</t>
  </si>
  <si>
    <t>Hết nhiệm
 vụ chi</t>
  </si>
  <si>
    <t>(Kèm theo Nghị quyết số                /NQ-HĐND ngày  28/4/2025 của Hội đồng nhân dân tỉnh)</t>
  </si>
</sst>
</file>

<file path=xl/styles.xml><?xml version="1.0" encoding="utf-8"?>
<styleSheet xmlns="http://schemas.openxmlformats.org/spreadsheetml/2006/main">
  <numFmts count="16">
    <numFmt numFmtId="43" formatCode="_-* #,##0.00\ _₫_-;\-* #,##0.00\ _₫_-;_-* &quot;-&quot;??\ _₫_-;_-@_-"/>
    <numFmt numFmtId="164" formatCode="_-* #,##0.00_-;\-* #,##0.00_-;_-* &quot;-&quot;??_-;_-@_-"/>
    <numFmt numFmtId="165" formatCode="_(* #,##0_);_(* \(#,##0\);_(* &quot;-&quot;_);_(@_)"/>
    <numFmt numFmtId="166" formatCode="_(* #,##0.00_);_(* \(#,##0.00\);_(* &quot;-&quot;??_);_(@_)"/>
    <numFmt numFmtId="167" formatCode="#,##0.0"/>
    <numFmt numFmtId="168" formatCode="[$-1010000]d/m/yyyy;@"/>
    <numFmt numFmtId="169" formatCode="_-* #,##0\ _₫_-;\-* #,##0\ _₫_-;_-* &quot;-&quot;??\ _₫_-;_-@_-"/>
    <numFmt numFmtId="170" formatCode="_-* #,##0.00\ _V_N_D_-;\-* #,##0.00\ _V_N_D_-;_-* &quot;-&quot;??\ _V_N_D_-;_-@_-"/>
    <numFmt numFmtId="171" formatCode="_(* #,##0.000_);_(* \(#,##0.000\);_(* &quot;-&quot;??_);_(@_)"/>
    <numFmt numFmtId="172" formatCode="_(* #,##0_);_(* \(#,##0\);_(* &quot;-&quot;??_);_(@_)"/>
    <numFmt numFmtId="173" formatCode="#,##0;[Red]#,##0"/>
    <numFmt numFmtId="174" formatCode="#,##0.000"/>
    <numFmt numFmtId="175" formatCode="_-* #,##0\ _€_-;\-* #,##0\ _€_-;_-* &quot;-&quot;??\ _€_-;_-@_-"/>
    <numFmt numFmtId="176" formatCode="_(* #,##0.0_);_(* \(#,##0.0\);_(* &quot;-&quot;??_);_(@_)"/>
    <numFmt numFmtId="177" formatCode="#,##0.0;[Red]#,##0.0"/>
    <numFmt numFmtId="178" formatCode="_-* #,##0.000_-;\-* #,##0.000_-;_-* &quot;-&quot;??_-;_-@_-"/>
  </numFmts>
  <fonts count="67">
    <font>
      <sz val="11"/>
      <color theme="1"/>
      <name val="Calibri"/>
      <family val="2"/>
      <charset val="163"/>
      <scheme val="minor"/>
    </font>
    <font>
      <sz val="11"/>
      <color theme="1"/>
      <name val="Calibri"/>
      <family val="2"/>
      <scheme val="minor"/>
    </font>
    <font>
      <sz val="11"/>
      <color theme="1"/>
      <name val="Calibri"/>
      <family val="2"/>
      <scheme val="minor"/>
    </font>
    <font>
      <sz val="10"/>
      <name val="Arial"/>
      <family val="2"/>
    </font>
    <font>
      <sz val="12"/>
      <name val="Times New Roman"/>
      <family val="1"/>
    </font>
    <font>
      <i/>
      <sz val="12"/>
      <name val="Times New Roman"/>
      <family val="1"/>
    </font>
    <font>
      <sz val="12"/>
      <color theme="1"/>
      <name val="Times New Roman"/>
      <family val="1"/>
    </font>
    <font>
      <b/>
      <sz val="12"/>
      <color theme="1"/>
      <name val="Times New Roman"/>
      <family val="1"/>
    </font>
    <font>
      <sz val="11"/>
      <name val="Times New Roman"/>
      <family val="1"/>
    </font>
    <font>
      <vertAlign val="superscript"/>
      <sz val="11"/>
      <name val="Times New Roman"/>
      <family val="1"/>
    </font>
    <font>
      <b/>
      <sz val="11"/>
      <color theme="1"/>
      <name val="Times New Roman"/>
      <family val="1"/>
    </font>
    <font>
      <b/>
      <sz val="11"/>
      <name val="Times New Roman"/>
      <family val="1"/>
    </font>
    <font>
      <b/>
      <i/>
      <sz val="11"/>
      <name val="Times New Roman"/>
      <family val="1"/>
    </font>
    <font>
      <sz val="11"/>
      <color theme="1"/>
      <name val="Times New Roman"/>
      <family val="1"/>
    </font>
    <font>
      <sz val="8"/>
      <name val="Calibri"/>
      <family val="2"/>
      <charset val="163"/>
      <scheme val="minor"/>
    </font>
    <font>
      <sz val="11"/>
      <color theme="1"/>
      <name val="Calibri"/>
      <family val="2"/>
      <charset val="163"/>
      <scheme val="minor"/>
    </font>
    <font>
      <b/>
      <sz val="14"/>
      <name val="Times New Roman"/>
      <family val="1"/>
    </font>
    <font>
      <b/>
      <sz val="12"/>
      <name val="Times New Roman"/>
      <family val="1"/>
    </font>
    <font>
      <b/>
      <i/>
      <sz val="12"/>
      <name val="Times New Roman"/>
      <family val="1"/>
    </font>
    <font>
      <sz val="14"/>
      <name val="Times New Roman"/>
      <family val="1"/>
    </font>
    <font>
      <b/>
      <sz val="10"/>
      <name val="Times New Roman"/>
      <family val="1"/>
    </font>
    <font>
      <sz val="10"/>
      <name val="Times New Roman"/>
      <family val="1"/>
    </font>
    <font>
      <b/>
      <i/>
      <sz val="10"/>
      <name val="Times New Roman"/>
      <family val="1"/>
    </font>
    <font>
      <b/>
      <i/>
      <sz val="14"/>
      <name val="Times New Roman"/>
      <family val="1"/>
    </font>
    <font>
      <sz val="12"/>
      <color rgb="FFFF0000"/>
      <name val="Times New Roman"/>
      <family val="1"/>
    </font>
    <font>
      <sz val="10"/>
      <color rgb="FFFF0000"/>
      <name val="Times New Roman"/>
      <family val="1"/>
    </font>
    <font>
      <sz val="14"/>
      <color rgb="FFFF0000"/>
      <name val="Times New Roman"/>
      <family val="1"/>
    </font>
    <font>
      <sz val="11"/>
      <color indexed="8"/>
      <name val="Calibri"/>
      <family val="2"/>
    </font>
    <font>
      <sz val="11"/>
      <name val="Calibri"/>
      <family val="2"/>
      <scheme val="minor"/>
    </font>
    <font>
      <sz val="11"/>
      <name val="Calibri"/>
      <family val="2"/>
      <charset val="163"/>
      <scheme val="minor"/>
    </font>
    <font>
      <sz val="11"/>
      <name val="Times New Roman"/>
      <family val="1"/>
      <charset val="163"/>
    </font>
    <font>
      <b/>
      <sz val="11"/>
      <name val="Times New Roman"/>
      <family val="1"/>
      <charset val="163"/>
    </font>
    <font>
      <sz val="11"/>
      <color theme="1"/>
      <name val="Calibri"/>
      <family val="2"/>
      <scheme val="minor"/>
    </font>
    <font>
      <sz val="11"/>
      <color indexed="8"/>
      <name val="Arial"/>
      <family val="2"/>
    </font>
    <font>
      <sz val="12"/>
      <name val=".VnTime"/>
      <family val="2"/>
    </font>
    <font>
      <sz val="14"/>
      <color theme="1"/>
      <name val="Times New Roman"/>
      <family val="2"/>
      <charset val="163"/>
    </font>
    <font>
      <sz val="10"/>
      <color indexed="8"/>
      <name val="MS Sans Serif"/>
      <family val="2"/>
    </font>
    <font>
      <sz val="14"/>
      <color indexed="8"/>
      <name val="Times New Roman"/>
      <family val="2"/>
      <charset val="163"/>
    </font>
    <font>
      <i/>
      <sz val="14"/>
      <name val="Times New Roman"/>
      <family val="1"/>
    </font>
    <font>
      <sz val="14"/>
      <name val="Calibri"/>
      <family val="2"/>
    </font>
    <font>
      <i/>
      <sz val="11"/>
      <name val="Times New Roman"/>
      <family val="1"/>
    </font>
    <font>
      <sz val="10"/>
      <name val="Times New Roman"/>
      <family val="1"/>
      <charset val="163"/>
    </font>
    <font>
      <sz val="10"/>
      <name val=".vntime"/>
      <family val="2"/>
    </font>
    <font>
      <b/>
      <sz val="11"/>
      <name val="Calibri"/>
      <family val="2"/>
      <scheme val="minor"/>
    </font>
    <font>
      <sz val="12"/>
      <name val="Times New Roman"/>
      <family val="1"/>
      <charset val="163"/>
    </font>
    <font>
      <b/>
      <i/>
      <sz val="11"/>
      <name val="Calibri"/>
      <family val="2"/>
      <charset val="163"/>
      <scheme val="minor"/>
    </font>
    <font>
      <b/>
      <i/>
      <sz val="12"/>
      <name val="Calibri"/>
      <family val="2"/>
      <charset val="163"/>
      <scheme val="minor"/>
    </font>
    <font>
      <b/>
      <i/>
      <sz val="12"/>
      <name val="Times New Roman"/>
      <family val="1"/>
      <charset val="163"/>
    </font>
    <font>
      <b/>
      <sz val="11"/>
      <name val="Calibri"/>
      <family val="2"/>
      <charset val="163"/>
      <scheme val="minor"/>
    </font>
    <font>
      <b/>
      <sz val="12"/>
      <name val="Calibri"/>
      <family val="2"/>
      <charset val="163"/>
      <scheme val="minor"/>
    </font>
    <font>
      <b/>
      <sz val="12"/>
      <name val="Times New Roman"/>
      <family val="1"/>
      <charset val="163"/>
    </font>
    <font>
      <sz val="12"/>
      <name val="Calibri"/>
      <family val="2"/>
    </font>
    <font>
      <b/>
      <sz val="12"/>
      <name val="Calibri"/>
      <family val="2"/>
    </font>
    <font>
      <b/>
      <sz val="12"/>
      <name val="Calibri"/>
      <family val="2"/>
      <scheme val="minor"/>
    </font>
    <font>
      <sz val="12"/>
      <name val="Calibri"/>
      <family val="2"/>
      <scheme val="minor"/>
    </font>
    <font>
      <sz val="11"/>
      <color theme="1"/>
      <name val="Arial"/>
      <family val="2"/>
    </font>
    <font>
      <sz val="10"/>
      <name val="Helv"/>
      <family val="2"/>
    </font>
    <font>
      <b/>
      <sz val="11"/>
      <name val="Calibri"/>
      <family val="2"/>
    </font>
    <font>
      <sz val="11"/>
      <name val="Calibri"/>
      <family val="2"/>
    </font>
    <font>
      <sz val="11"/>
      <name val="Calibri"/>
      <family val="2"/>
      <charset val="163"/>
    </font>
    <font>
      <i/>
      <sz val="11"/>
      <name val="Calibri"/>
      <family val="2"/>
      <charset val="163"/>
      <scheme val="minor"/>
    </font>
    <font>
      <i/>
      <sz val="12"/>
      <name val="Calibri"/>
      <family val="2"/>
      <charset val="163"/>
      <scheme val="minor"/>
    </font>
    <font>
      <i/>
      <sz val="12"/>
      <name val="Times New Roman"/>
      <family val="1"/>
      <charset val="163"/>
    </font>
    <font>
      <sz val="11"/>
      <color indexed="8"/>
      <name val="Calibri"/>
      <family val="2"/>
      <charset val="163"/>
    </font>
    <font>
      <sz val="12"/>
      <name val="VNI-Times"/>
    </font>
    <font>
      <sz val="12"/>
      <name val="Arial"/>
      <family val="2"/>
    </font>
    <font>
      <i/>
      <sz val="12"/>
      <name val="Arial"/>
      <family val="2"/>
    </font>
  </fonts>
  <fills count="5">
    <fill>
      <patternFill patternType="none"/>
    </fill>
    <fill>
      <patternFill patternType="gray125"/>
    </fill>
    <fill>
      <patternFill patternType="solid">
        <fgColor rgb="FFFFFF00"/>
        <bgColor indexed="64"/>
      </patternFill>
    </fill>
    <fill>
      <patternFill patternType="solid">
        <fgColor rgb="FFFF99FF"/>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s>
  <cellStyleXfs count="56">
    <xf numFmtId="0" fontId="0" fillId="0" borderId="0"/>
    <xf numFmtId="0" fontId="3" fillId="0" borderId="0"/>
    <xf numFmtId="164" fontId="15"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0" fontId="3" fillId="0" borderId="0"/>
    <xf numFmtId="0" fontId="3" fillId="0" borderId="0"/>
    <xf numFmtId="166" fontId="27" fillId="0" borderId="0" applyFont="0" applyFill="0" applyBorder="0" applyAlignment="0" applyProtection="0"/>
    <xf numFmtId="166" fontId="32" fillId="0" borderId="0" applyFont="0" applyFill="0" applyBorder="0" applyAlignment="0" applyProtection="0"/>
    <xf numFmtId="0" fontId="21" fillId="0" borderId="0"/>
    <xf numFmtId="166" fontId="19" fillId="0" borderId="0" applyFont="0" applyFill="0" applyBorder="0" applyAlignment="0" applyProtection="0"/>
    <xf numFmtId="0" fontId="32" fillId="0" borderId="0"/>
    <xf numFmtId="0" fontId="3" fillId="0" borderId="0"/>
    <xf numFmtId="0" fontId="3" fillId="0" borderId="0"/>
    <xf numFmtId="0" fontId="33" fillId="0" borderId="0"/>
    <xf numFmtId="0" fontId="27" fillId="0" borderId="0"/>
    <xf numFmtId="166" fontId="4" fillId="0" borderId="0" applyFont="0" applyFill="0" applyBorder="0" applyAlignment="0" applyProtection="0"/>
    <xf numFmtId="0" fontId="34" fillId="0" borderId="0"/>
    <xf numFmtId="0" fontId="35" fillId="0" borderId="0"/>
    <xf numFmtId="166" fontId="27" fillId="0" borderId="0" applyFont="0" applyFill="0" applyBorder="0" applyAlignment="0" applyProtection="0"/>
    <xf numFmtId="0" fontId="3" fillId="0" borderId="0"/>
    <xf numFmtId="0" fontId="3" fillId="0" borderId="0"/>
    <xf numFmtId="0" fontId="32" fillId="0" borderId="0"/>
    <xf numFmtId="0" fontId="36" fillId="0" borderId="0"/>
    <xf numFmtId="164" fontId="15" fillId="0" borderId="0" applyFont="0" applyFill="0" applyBorder="0" applyAlignment="0" applyProtection="0"/>
    <xf numFmtId="170" fontId="3" fillId="0" borderId="0" applyFont="0" applyFill="0" applyBorder="0" applyAlignment="0" applyProtection="0"/>
    <xf numFmtId="0" fontId="15" fillId="0" borderId="0"/>
    <xf numFmtId="0" fontId="35" fillId="0" borderId="0"/>
    <xf numFmtId="166" fontId="27" fillId="0" borderId="0" applyFont="0" applyFill="0" applyBorder="0" applyAlignment="0" applyProtection="0"/>
    <xf numFmtId="164" fontId="37" fillId="0" borderId="0" applyFont="0" applyFill="0" applyBorder="0" applyAlignment="0" applyProtection="0"/>
    <xf numFmtId="0" fontId="15" fillId="0" borderId="0"/>
    <xf numFmtId="0" fontId="2" fillId="0" borderId="0"/>
    <xf numFmtId="166" fontId="2" fillId="0" borderId="0" applyFont="0" applyFill="0" applyBorder="0" applyAlignment="0" applyProtection="0"/>
    <xf numFmtId="0" fontId="2" fillId="0" borderId="0"/>
    <xf numFmtId="0" fontId="3" fillId="0" borderId="0"/>
    <xf numFmtId="0" fontId="15" fillId="0" borderId="0"/>
    <xf numFmtId="0" fontId="3" fillId="0" borderId="0"/>
    <xf numFmtId="43" fontId="2" fillId="0" borderId="0" applyFont="0" applyFill="0" applyBorder="0" applyAlignment="0" applyProtection="0"/>
    <xf numFmtId="0" fontId="3" fillId="0" borderId="0"/>
    <xf numFmtId="0" fontId="3" fillId="0" borderId="0"/>
    <xf numFmtId="0" fontId="3" fillId="0" borderId="0"/>
    <xf numFmtId="0" fontId="41" fillId="0" borderId="0"/>
    <xf numFmtId="0" fontId="42" fillId="0" borderId="0" applyNumberFormat="0" applyFill="0" applyBorder="0" applyAlignment="0" applyProtection="0"/>
    <xf numFmtId="0" fontId="4" fillId="0" borderId="0"/>
    <xf numFmtId="0" fontId="55" fillId="0" borderId="0"/>
    <xf numFmtId="0" fontId="56" fillId="0" borderId="0"/>
    <xf numFmtId="0" fontId="56" fillId="0" borderId="0"/>
    <xf numFmtId="0" fontId="27" fillId="0" borderId="0"/>
    <xf numFmtId="0" fontId="27" fillId="0" borderId="0"/>
    <xf numFmtId="0" fontId="2" fillId="0" borderId="0"/>
    <xf numFmtId="166" fontId="63" fillId="0" borderId="0" applyFont="0" applyFill="0" applyBorder="0" applyAlignment="0" applyProtection="0"/>
    <xf numFmtId="0" fontId="2" fillId="0" borderId="0"/>
    <xf numFmtId="166" fontId="64"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cellStyleXfs>
  <cellXfs count="784">
    <xf numFmtId="0" fontId="0" fillId="0" borderId="0" xfId="0"/>
    <xf numFmtId="0" fontId="6" fillId="0" borderId="0" xfId="0" applyFont="1"/>
    <xf numFmtId="3" fontId="4" fillId="0" borderId="1" xfId="1" quotePrefix="1" applyNumberFormat="1" applyFont="1" applyBorder="1" applyAlignment="1">
      <alignment horizontal="center" vertical="center" wrapText="1"/>
    </xf>
    <xf numFmtId="0" fontId="6" fillId="0" borderId="0" xfId="0" applyFont="1" applyAlignment="1">
      <alignment horizontal="center"/>
    </xf>
    <xf numFmtId="0" fontId="7" fillId="0" borderId="0" xfId="0" applyFont="1"/>
    <xf numFmtId="0" fontId="7" fillId="0" borderId="1" xfId="0"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0" xfId="0" applyFont="1" applyAlignment="1">
      <alignment vertical="center"/>
    </xf>
    <xf numFmtId="3" fontId="8" fillId="0" borderId="1" xfId="1" quotePrefix="1" applyNumberFormat="1" applyFont="1" applyBorder="1" applyAlignment="1">
      <alignment horizontal="center" vertical="center" wrapText="1"/>
    </xf>
    <xf numFmtId="3" fontId="11" fillId="0" borderId="1" xfId="0" applyNumberFormat="1" applyFont="1" applyBorder="1" applyAlignment="1">
      <alignment vertical="center"/>
    </xf>
    <xf numFmtId="3" fontId="8" fillId="0" borderId="1" xfId="0" applyNumberFormat="1" applyFont="1" applyBorder="1" applyAlignment="1">
      <alignment vertical="center"/>
    </xf>
    <xf numFmtId="0" fontId="13" fillId="0" borderId="0" xfId="0" applyFont="1"/>
    <xf numFmtId="0" fontId="7" fillId="0" borderId="0" xfId="0" applyFont="1" applyAlignment="1">
      <alignment horizontal="center" vertical="center"/>
    </xf>
    <xf numFmtId="3" fontId="19" fillId="0" borderId="1" xfId="2" applyNumberFormat="1" applyFont="1" applyFill="1" applyBorder="1" applyAlignment="1">
      <alignment horizontal="right" vertical="center"/>
    </xf>
    <xf numFmtId="3" fontId="19" fillId="0" borderId="1" xfId="2" applyNumberFormat="1" applyFont="1" applyFill="1" applyBorder="1" applyAlignment="1">
      <alignment vertical="center"/>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3" fontId="16" fillId="0" borderId="1" xfId="1" quotePrefix="1" applyNumberFormat="1" applyFont="1" applyBorder="1" applyAlignment="1">
      <alignment horizontal="center" vertical="center" wrapText="1"/>
    </xf>
    <xf numFmtId="0" fontId="6" fillId="0" borderId="0" xfId="0" applyFont="1" applyAlignment="1">
      <alignment horizontal="center" vertical="center"/>
    </xf>
    <xf numFmtId="0" fontId="24" fillId="0" borderId="1" xfId="0" applyFont="1" applyBorder="1" applyAlignment="1">
      <alignment horizontal="center" vertical="center" wrapText="1"/>
    </xf>
    <xf numFmtId="3" fontId="26" fillId="0" borderId="1" xfId="2" applyNumberFormat="1" applyFont="1" applyFill="1" applyBorder="1" applyAlignment="1">
      <alignment horizontal="right" vertical="center"/>
    </xf>
    <xf numFmtId="0" fontId="24" fillId="0" borderId="1" xfId="0" applyFont="1" applyBorder="1" applyAlignment="1">
      <alignment vertical="center" wrapText="1"/>
    </xf>
    <xf numFmtId="0" fontId="24" fillId="0" borderId="1" xfId="0" applyFont="1" applyBorder="1" applyAlignment="1">
      <alignment horizontal="center" vertical="center"/>
    </xf>
    <xf numFmtId="3" fontId="26" fillId="0" borderId="1" xfId="2" applyNumberFormat="1" applyFont="1" applyFill="1" applyBorder="1" applyAlignment="1">
      <alignment vertical="center"/>
    </xf>
    <xf numFmtId="3" fontId="17" fillId="0" borderId="1" xfId="1" quotePrefix="1" applyNumberFormat="1" applyFont="1" applyBorder="1" applyAlignment="1">
      <alignment horizontal="center" vertical="center" wrapText="1"/>
    </xf>
    <xf numFmtId="3" fontId="11" fillId="0" borderId="1" xfId="1" quotePrefix="1" applyNumberFormat="1" applyFont="1" applyBorder="1" applyAlignment="1">
      <alignment horizontal="center" vertical="center" wrapText="1"/>
    </xf>
    <xf numFmtId="3" fontId="11" fillId="0" borderId="1" xfId="1" applyNumberFormat="1" applyFont="1" applyBorder="1" applyAlignment="1">
      <alignment horizontal="left" vertical="center" wrapText="1"/>
    </xf>
    <xf numFmtId="165" fontId="11" fillId="0" borderId="1" xfId="3" applyNumberFormat="1" applyFont="1" applyFill="1" applyBorder="1" applyAlignment="1">
      <alignment horizontal="center" vertical="center" wrapText="1"/>
    </xf>
    <xf numFmtId="165" fontId="11" fillId="0" borderId="1" xfId="3" applyNumberFormat="1" applyFont="1" applyFill="1" applyBorder="1" applyAlignment="1">
      <alignment horizontal="right" vertical="center" wrapText="1"/>
    </xf>
    <xf numFmtId="49" fontId="11" fillId="0" borderId="1" xfId="1" applyNumberFormat="1" applyFont="1" applyBorder="1" applyAlignment="1">
      <alignment horizontal="center" vertical="center"/>
    </xf>
    <xf numFmtId="1" fontId="11" fillId="0" borderId="1" xfId="1" applyNumberFormat="1" applyFont="1" applyBorder="1" applyAlignment="1">
      <alignment horizontal="left" vertical="center" wrapText="1"/>
    </xf>
    <xf numFmtId="1" fontId="11" fillId="0" borderId="1" xfId="1" applyNumberFormat="1" applyFont="1" applyBorder="1" applyAlignment="1">
      <alignment vertical="center" wrapText="1"/>
    </xf>
    <xf numFmtId="1" fontId="12" fillId="0" borderId="1" xfId="1" quotePrefix="1" applyNumberFormat="1" applyFont="1" applyBorder="1" applyAlignment="1">
      <alignment vertical="center" wrapText="1"/>
    </xf>
    <xf numFmtId="0" fontId="8" fillId="0" borderId="1" xfId="0" applyFont="1" applyBorder="1" applyAlignment="1">
      <alignment horizontal="center" vertical="center"/>
    </xf>
    <xf numFmtId="164" fontId="8" fillId="0" borderId="1" xfId="2" applyFont="1" applyFill="1" applyBorder="1" applyAlignment="1">
      <alignment horizontal="left" vertical="center" wrapText="1"/>
    </xf>
    <xf numFmtId="14" fontId="8" fillId="0" borderId="1" xfId="1" quotePrefix="1" applyNumberFormat="1" applyFont="1" applyBorder="1" applyAlignment="1">
      <alignment horizontal="center" vertical="center" wrapText="1"/>
    </xf>
    <xf numFmtId="0" fontId="8" fillId="0" borderId="1" xfId="0" quotePrefix="1" applyFont="1" applyBorder="1" applyAlignment="1">
      <alignment horizontal="center" vertical="center"/>
    </xf>
    <xf numFmtId="166" fontId="8" fillId="0" borderId="1" xfId="2" applyNumberFormat="1" applyFont="1" applyFill="1" applyBorder="1" applyAlignment="1">
      <alignment horizontal="left" vertical="center" wrapText="1"/>
    </xf>
    <xf numFmtId="166" fontId="8" fillId="0" borderId="1" xfId="4" applyFont="1" applyFill="1" applyBorder="1" applyAlignment="1">
      <alignment horizontal="left" vertical="center" wrapText="1"/>
    </xf>
    <xf numFmtId="3" fontId="8" fillId="0" borderId="1" xfId="0" applyNumberFormat="1" applyFont="1" applyBorder="1" applyAlignment="1">
      <alignment horizontal="right" vertical="center" wrapText="1"/>
    </xf>
    <xf numFmtId="3" fontId="8" fillId="0" borderId="1" xfId="0" applyNumberFormat="1" applyFont="1" applyBorder="1" applyAlignment="1">
      <alignment horizontal="center" vertical="center" wrapText="1"/>
    </xf>
    <xf numFmtId="3" fontId="8" fillId="0" borderId="1" xfId="0" applyNumberFormat="1" applyFont="1" applyBorder="1" applyAlignment="1">
      <alignment horizontal="right" vertical="center"/>
    </xf>
    <xf numFmtId="3" fontId="8" fillId="0" borderId="1" xfId="1" quotePrefix="1" applyNumberFormat="1" applyFont="1" applyBorder="1" applyAlignment="1">
      <alignment horizontal="right" vertical="center" wrapText="1"/>
    </xf>
    <xf numFmtId="3" fontId="11" fillId="0" borderId="1" xfId="3" applyNumberFormat="1" applyFont="1" applyFill="1" applyBorder="1" applyAlignment="1">
      <alignment horizontal="right" vertical="center" wrapText="1"/>
    </xf>
    <xf numFmtId="3" fontId="12" fillId="0" borderId="1" xfId="3" applyNumberFormat="1" applyFont="1" applyFill="1" applyBorder="1" applyAlignment="1">
      <alignment horizontal="right" vertical="center" wrapText="1"/>
    </xf>
    <xf numFmtId="3" fontId="28" fillId="0" borderId="0" xfId="0" applyNumberFormat="1" applyFont="1"/>
    <xf numFmtId="3" fontId="8" fillId="0" borderId="1" xfId="3" applyNumberFormat="1" applyFont="1" applyFill="1" applyBorder="1" applyAlignment="1">
      <alignment horizontal="right" vertical="center" wrapText="1"/>
    </xf>
    <xf numFmtId="3" fontId="20" fillId="0" borderId="1" xfId="1" quotePrefix="1" applyNumberFormat="1" applyFont="1" applyBorder="1" applyAlignment="1">
      <alignment horizontal="center" vertical="center" wrapText="1"/>
    </xf>
    <xf numFmtId="165" fontId="20" fillId="0" borderId="1" xfId="3" applyNumberFormat="1" applyFont="1" applyFill="1" applyBorder="1" applyAlignment="1">
      <alignment horizontal="right" vertical="center" wrapText="1"/>
    </xf>
    <xf numFmtId="3" fontId="21" fillId="0" borderId="1" xfId="1" quotePrefix="1" applyNumberFormat="1" applyFont="1" applyBorder="1" applyAlignment="1">
      <alignment horizontal="center" vertical="center" wrapText="1"/>
    </xf>
    <xf numFmtId="166" fontId="21" fillId="0" borderId="1" xfId="2" applyNumberFormat="1" applyFont="1" applyFill="1" applyBorder="1" applyAlignment="1">
      <alignment horizontal="center" vertical="center" wrapText="1"/>
    </xf>
    <xf numFmtId="0" fontId="8" fillId="0" borderId="1" xfId="0" applyFont="1" applyBorder="1"/>
    <xf numFmtId="0" fontId="29" fillId="0" borderId="0" xfId="0" applyFont="1"/>
    <xf numFmtId="0" fontId="29" fillId="0" borderId="0" xfId="0" applyFont="1" applyAlignment="1">
      <alignment vertical="center"/>
    </xf>
    <xf numFmtId="166" fontId="11" fillId="0" borderId="1" xfId="2" applyNumberFormat="1" applyFont="1" applyFill="1" applyBorder="1" applyAlignment="1">
      <alignment horizontal="left" vertical="center" wrapText="1"/>
    </xf>
    <xf numFmtId="14" fontId="11" fillId="0" borderId="1" xfId="1" quotePrefix="1" applyNumberFormat="1" applyFont="1" applyBorder="1" applyAlignment="1">
      <alignment horizontal="center" vertical="center" wrapText="1"/>
    </xf>
    <xf numFmtId="166" fontId="20" fillId="0" borderId="1" xfId="2" applyNumberFormat="1" applyFont="1" applyFill="1" applyBorder="1" applyAlignment="1">
      <alignment horizontal="center" vertical="center" wrapText="1"/>
    </xf>
    <xf numFmtId="0" fontId="12" fillId="0" borderId="1" xfId="0" quotePrefix="1" applyFont="1" applyBorder="1" applyAlignment="1">
      <alignment horizontal="center" vertical="center"/>
    </xf>
    <xf numFmtId="166" fontId="12" fillId="0" borderId="1" xfId="2" quotePrefix="1" applyNumberFormat="1" applyFont="1" applyFill="1" applyBorder="1" applyAlignment="1">
      <alignment horizontal="left" vertical="center" wrapText="1"/>
    </xf>
    <xf numFmtId="3" fontId="12" fillId="0" borderId="1" xfId="1" quotePrefix="1" applyNumberFormat="1" applyFont="1" applyBorder="1" applyAlignment="1">
      <alignment horizontal="center" vertical="center" wrapText="1"/>
    </xf>
    <xf numFmtId="14" fontId="12" fillId="0" borderId="1" xfId="1" quotePrefix="1" applyNumberFormat="1" applyFont="1" applyBorder="1" applyAlignment="1">
      <alignment horizontal="center" vertical="center" wrapText="1"/>
    </xf>
    <xf numFmtId="166" fontId="22" fillId="0" borderId="1" xfId="2" applyNumberFormat="1" applyFont="1" applyFill="1" applyBorder="1" applyAlignment="1">
      <alignment horizontal="center" vertical="center" wrapText="1"/>
    </xf>
    <xf numFmtId="3" fontId="12" fillId="0" borderId="1" xfId="0" applyNumberFormat="1" applyFont="1" applyBorder="1" applyAlignment="1">
      <alignment vertical="center"/>
    </xf>
    <xf numFmtId="0" fontId="29" fillId="0" borderId="1" xfId="0" applyFont="1" applyBorder="1"/>
    <xf numFmtId="0" fontId="11"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8" fontId="7" fillId="0" borderId="1" xfId="0" applyNumberFormat="1" applyFont="1" applyBorder="1" applyAlignment="1">
      <alignment horizontal="center" vertical="center"/>
    </xf>
    <xf numFmtId="0" fontId="6" fillId="0" borderId="1" xfId="0" applyFont="1" applyBorder="1" applyAlignment="1">
      <alignment horizontal="left" vertical="center" wrapText="1"/>
    </xf>
    <xf numFmtId="168" fontId="6" fillId="0" borderId="1" xfId="0" applyNumberFormat="1" applyFont="1" applyBorder="1" applyAlignment="1">
      <alignment horizontal="center" vertical="center"/>
    </xf>
    <xf numFmtId="168" fontId="24" fillId="0" borderId="1" xfId="0" applyNumberFormat="1" applyFont="1" applyBorder="1" applyAlignment="1">
      <alignment horizontal="center" vertical="center"/>
    </xf>
    <xf numFmtId="0" fontId="24" fillId="0" borderId="0" xfId="0" applyFont="1"/>
    <xf numFmtId="0" fontId="6" fillId="0" borderId="0" xfId="0" applyFont="1" applyAlignment="1">
      <alignment horizontal="center" vertical="center" wrapText="1"/>
    </xf>
    <xf numFmtId="168" fontId="6" fillId="0" borderId="0" xfId="0" applyNumberFormat="1" applyFont="1" applyAlignment="1">
      <alignment horizontal="center" vertical="center"/>
    </xf>
    <xf numFmtId="0" fontId="7" fillId="0" borderId="0" xfId="0" applyFont="1" applyAlignment="1">
      <alignment horizontal="center" vertical="center" wrapText="1"/>
    </xf>
    <xf numFmtId="0" fontId="4"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3" fontId="16" fillId="0" borderId="1" xfId="1" applyNumberFormat="1" applyFont="1" applyBorder="1" applyAlignment="1">
      <alignment horizontal="left" vertical="center" wrapText="1"/>
    </xf>
    <xf numFmtId="49" fontId="17" fillId="0" borderId="1" xfId="1" applyNumberFormat="1" applyFont="1" applyBorder="1" applyAlignment="1">
      <alignment horizontal="center" vertical="center"/>
    </xf>
    <xf numFmtId="1" fontId="17" fillId="0" borderId="1" xfId="1" applyNumberFormat="1" applyFont="1" applyBorder="1" applyAlignment="1">
      <alignment vertical="center" wrapText="1"/>
    </xf>
    <xf numFmtId="3" fontId="4" fillId="0" borderId="1" xfId="1" quotePrefix="1" applyNumberFormat="1" applyFont="1" applyBorder="1" applyAlignment="1">
      <alignment horizontal="left" vertical="center" wrapText="1"/>
    </xf>
    <xf numFmtId="0" fontId="17" fillId="0" borderId="1" xfId="0" applyFont="1" applyBorder="1" applyAlignment="1">
      <alignment horizontal="center" vertical="center" wrapText="1"/>
    </xf>
    <xf numFmtId="49" fontId="18" fillId="0" borderId="1" xfId="1" quotePrefix="1" applyNumberFormat="1" applyFont="1" applyBorder="1" applyAlignment="1">
      <alignment horizontal="center" vertical="center"/>
    </xf>
    <xf numFmtId="1" fontId="18" fillId="0" borderId="1" xfId="1" applyNumberFormat="1" applyFont="1" applyBorder="1" applyAlignment="1">
      <alignment vertical="center" wrapText="1"/>
    </xf>
    <xf numFmtId="3" fontId="17" fillId="0" borderId="1" xfId="1" quotePrefix="1" applyNumberFormat="1" applyFont="1" applyBorder="1" applyAlignment="1">
      <alignment horizontal="left" vertical="center" wrapText="1"/>
    </xf>
    <xf numFmtId="1" fontId="4" fillId="0" borderId="1" xfId="1" applyNumberFormat="1" applyFont="1" applyBorder="1" applyAlignment="1">
      <alignment horizontal="left" vertical="center" wrapText="1"/>
    </xf>
    <xf numFmtId="3" fontId="4" fillId="0" borderId="1" xfId="0" applyNumberFormat="1" applyFont="1" applyBorder="1" applyAlignment="1">
      <alignment vertical="center"/>
    </xf>
    <xf numFmtId="0" fontId="4" fillId="0" borderId="1" xfId="0" applyFont="1" applyBorder="1" applyAlignment="1">
      <alignment vertical="center"/>
    </xf>
    <xf numFmtId="1" fontId="21" fillId="0" borderId="1" xfId="1" applyNumberFormat="1" applyFont="1" applyBorder="1" applyAlignment="1">
      <alignment horizontal="center" vertical="center" wrapText="1"/>
    </xf>
    <xf numFmtId="0" fontId="24" fillId="0" borderId="1" xfId="0" applyFont="1" applyBorder="1" applyAlignment="1">
      <alignment vertical="center"/>
    </xf>
    <xf numFmtId="0" fontId="24" fillId="0" borderId="0" xfId="0" applyFont="1" applyAlignment="1">
      <alignment vertical="center"/>
    </xf>
    <xf numFmtId="49" fontId="4" fillId="0" borderId="1" xfId="1" applyNumberFormat="1" applyFont="1" applyBorder="1" applyAlignment="1">
      <alignment horizontal="center" vertical="center"/>
    </xf>
    <xf numFmtId="0" fontId="4" fillId="0" borderId="1" xfId="1" applyFont="1" applyBorder="1" applyAlignment="1">
      <alignment horizontal="center" vertical="center"/>
    </xf>
    <xf numFmtId="1" fontId="4" fillId="0" borderId="1" xfId="1" applyNumberFormat="1" applyFont="1" applyBorder="1" applyAlignment="1">
      <alignment vertical="center" wrapText="1"/>
    </xf>
    <xf numFmtId="1" fontId="4" fillId="0" borderId="1" xfId="1" quotePrefix="1" applyNumberFormat="1" applyFont="1" applyBorder="1" applyAlignment="1">
      <alignment vertical="center" wrapText="1"/>
    </xf>
    <xf numFmtId="0" fontId="4" fillId="0" borderId="1" xfId="0" applyFont="1" applyBorder="1" applyAlignment="1">
      <alignment vertical="center" wrapText="1"/>
    </xf>
    <xf numFmtId="3" fontId="19" fillId="0" borderId="1" xfId="1" quotePrefix="1" applyNumberFormat="1" applyFont="1" applyBorder="1" applyAlignment="1">
      <alignment horizontal="center" vertical="center" wrapText="1"/>
    </xf>
    <xf numFmtId="3" fontId="16" fillId="0" borderId="1" xfId="1" quotePrefix="1" applyNumberFormat="1" applyFont="1" applyBorder="1" applyAlignment="1">
      <alignment horizontal="right" vertical="center" wrapText="1"/>
    </xf>
    <xf numFmtId="49" fontId="17" fillId="0" borderId="1" xfId="1" quotePrefix="1" applyNumberFormat="1" applyFont="1" applyBorder="1" applyAlignment="1">
      <alignment horizontal="center" vertical="center" wrapText="1"/>
    </xf>
    <xf numFmtId="1" fontId="20" fillId="0" borderId="1" xfId="1" applyNumberFormat="1" applyFont="1" applyBorder="1" applyAlignment="1">
      <alignment horizontal="center" vertical="center" wrapText="1"/>
    </xf>
    <xf numFmtId="1" fontId="17" fillId="0" borderId="1" xfId="1" applyNumberFormat="1" applyFont="1" applyBorder="1" applyAlignment="1">
      <alignment horizontal="left" vertical="center" wrapText="1"/>
    </xf>
    <xf numFmtId="3" fontId="16" fillId="0" borderId="1" xfId="1" applyNumberFormat="1" applyFont="1" applyBorder="1" applyAlignment="1">
      <alignment horizontal="right" vertical="center"/>
    </xf>
    <xf numFmtId="3" fontId="19" fillId="0" borderId="1" xfId="1" applyNumberFormat="1" applyFont="1" applyBorder="1" applyAlignment="1">
      <alignment horizontal="right" vertical="center"/>
    </xf>
    <xf numFmtId="1" fontId="19" fillId="0" borderId="1" xfId="1" applyNumberFormat="1" applyFont="1" applyBorder="1" applyAlignment="1">
      <alignment horizontal="right" vertical="center"/>
    </xf>
    <xf numFmtId="1" fontId="22" fillId="0" borderId="1" xfId="1" applyNumberFormat="1" applyFont="1" applyBorder="1" applyAlignment="1">
      <alignment horizontal="center" vertical="center" wrapText="1"/>
    </xf>
    <xf numFmtId="3" fontId="23" fillId="0" borderId="1" xfId="1" applyNumberFormat="1" applyFont="1" applyBorder="1" applyAlignment="1">
      <alignment horizontal="right" vertical="center"/>
    </xf>
    <xf numFmtId="0" fontId="17" fillId="0" borderId="1" xfId="1" applyFont="1" applyBorder="1" applyAlignment="1">
      <alignment horizontal="center" vertical="center"/>
    </xf>
    <xf numFmtId="0" fontId="24" fillId="0" borderId="1" xfId="1" applyFont="1" applyBorder="1" applyAlignment="1">
      <alignment horizontal="center" vertical="center"/>
    </xf>
    <xf numFmtId="1" fontId="24" fillId="0" borderId="1" xfId="1" applyNumberFormat="1" applyFont="1" applyBorder="1" applyAlignment="1">
      <alignment vertical="center" wrapText="1"/>
    </xf>
    <xf numFmtId="1" fontId="25" fillId="0" borderId="1" xfId="1" applyNumberFormat="1" applyFont="1" applyBorder="1" applyAlignment="1">
      <alignment horizontal="center" vertical="center" wrapText="1"/>
    </xf>
    <xf numFmtId="3" fontId="26" fillId="0" borderId="1" xfId="1" applyNumberFormat="1" applyFont="1" applyBorder="1" applyAlignment="1">
      <alignment horizontal="right" vertical="center"/>
    </xf>
    <xf numFmtId="1" fontId="26" fillId="0" borderId="1" xfId="1" applyNumberFormat="1" applyFont="1" applyBorder="1" applyAlignment="1">
      <alignment horizontal="right" vertical="center"/>
    </xf>
    <xf numFmtId="0" fontId="4" fillId="0" borderId="1" xfId="1" quotePrefix="1" applyFont="1" applyBorder="1" applyAlignment="1">
      <alignment horizontal="center" vertical="center" wrapText="1"/>
    </xf>
    <xf numFmtId="0" fontId="24" fillId="0" borderId="1" xfId="1" quotePrefix="1" applyFont="1" applyBorder="1" applyAlignment="1">
      <alignment horizontal="center" vertical="center" wrapText="1"/>
    </xf>
    <xf numFmtId="1" fontId="24" fillId="0" borderId="1" xfId="1" applyNumberFormat="1" applyFont="1" applyBorder="1" applyAlignment="1">
      <alignment horizontal="left" vertical="center" wrapText="1"/>
    </xf>
    <xf numFmtId="3" fontId="6" fillId="0" borderId="0" xfId="0" applyNumberFormat="1" applyFont="1" applyAlignment="1">
      <alignment vertical="center"/>
    </xf>
    <xf numFmtId="49" fontId="4" fillId="0" borderId="1" xfId="1" quotePrefix="1" applyNumberFormat="1" applyFont="1" applyBorder="1" applyAlignment="1">
      <alignment horizontal="center" vertical="center" wrapText="1"/>
    </xf>
    <xf numFmtId="1" fontId="19" fillId="0" borderId="1" xfId="1" applyNumberFormat="1" applyFont="1" applyBorder="1" applyAlignment="1">
      <alignment vertical="center"/>
    </xf>
    <xf numFmtId="49" fontId="4" fillId="0" borderId="1" xfId="1" quotePrefix="1" applyNumberFormat="1" applyFont="1" applyBorder="1" applyAlignment="1">
      <alignment horizontal="center" vertical="center"/>
    </xf>
    <xf numFmtId="0" fontId="6" fillId="0" borderId="0" xfId="0" applyFont="1" applyAlignment="1">
      <alignment vertical="center" wrapText="1"/>
    </xf>
    <xf numFmtId="1" fontId="4" fillId="0" borderId="1" xfId="0" quotePrefix="1" applyNumberFormat="1" applyFont="1" applyBorder="1" applyAlignment="1">
      <alignment horizontal="left" vertical="center" wrapText="1"/>
    </xf>
    <xf numFmtId="0" fontId="21" fillId="0" borderId="1" xfId="0" applyFont="1" applyBorder="1" applyAlignment="1">
      <alignment horizontal="center" vertical="center" wrapText="1"/>
    </xf>
    <xf numFmtId="0" fontId="17" fillId="0" borderId="1" xfId="1" quotePrefix="1" applyFont="1" applyBorder="1" applyAlignment="1">
      <alignment horizontal="center" vertical="center" wrapText="1"/>
    </xf>
    <xf numFmtId="0" fontId="17" fillId="0" borderId="1" xfId="1" applyFont="1" applyBorder="1" applyAlignment="1">
      <alignment horizontal="left" vertical="center" wrapText="1"/>
    </xf>
    <xf numFmtId="0" fontId="20" fillId="0" borderId="1" xfId="1" applyFont="1" applyBorder="1" applyAlignment="1">
      <alignment horizontal="center" vertical="center" wrapText="1"/>
    </xf>
    <xf numFmtId="0" fontId="16" fillId="0" borderId="1" xfId="1" applyFont="1" applyBorder="1" applyAlignment="1">
      <alignment horizontal="right" vertical="center"/>
    </xf>
    <xf numFmtId="0" fontId="5" fillId="0" borderId="1" xfId="1" quotePrefix="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1" fontId="16" fillId="0" borderId="1" xfId="1" applyNumberFormat="1" applyFont="1" applyBorder="1" applyAlignment="1">
      <alignment vertical="center"/>
    </xf>
    <xf numFmtId="0" fontId="16" fillId="0" borderId="1" xfId="1" applyFont="1" applyBorder="1" applyAlignment="1">
      <alignment horizontal="center" vertical="center"/>
    </xf>
    <xf numFmtId="1" fontId="16" fillId="0" borderId="1" xfId="1" applyNumberFormat="1" applyFont="1" applyBorder="1" applyAlignment="1">
      <alignment vertical="center" wrapText="1"/>
    </xf>
    <xf numFmtId="1" fontId="16" fillId="0" borderId="1" xfId="1" applyNumberFormat="1" applyFont="1" applyBorder="1" applyAlignment="1">
      <alignment horizontal="center" vertical="center" wrapText="1"/>
    </xf>
    <xf numFmtId="3" fontId="4" fillId="0" borderId="1" xfId="1" applyNumberFormat="1" applyFont="1" applyBorder="1" applyAlignment="1">
      <alignment horizontal="left" vertical="center" wrapText="1"/>
    </xf>
    <xf numFmtId="3" fontId="4" fillId="3" borderId="1" xfId="1" quotePrefix="1" applyNumberFormat="1" applyFont="1" applyFill="1" applyBorder="1" applyAlignment="1">
      <alignment horizontal="center" vertical="center" wrapText="1"/>
    </xf>
    <xf numFmtId="3" fontId="4" fillId="4" borderId="1" xfId="1" quotePrefix="1" applyNumberFormat="1" applyFont="1" applyFill="1" applyBorder="1" applyAlignment="1">
      <alignment horizontal="center" vertical="center" wrapText="1"/>
    </xf>
    <xf numFmtId="3" fontId="16" fillId="3" borderId="1" xfId="1" quotePrefix="1" applyNumberFormat="1" applyFont="1" applyFill="1" applyBorder="1" applyAlignment="1">
      <alignment horizontal="right" vertical="center" wrapText="1"/>
    </xf>
    <xf numFmtId="0" fontId="6" fillId="3" borderId="0" xfId="0" applyFont="1" applyFill="1"/>
    <xf numFmtId="3" fontId="16" fillId="4" borderId="1" xfId="1" quotePrefix="1" applyNumberFormat="1" applyFont="1" applyFill="1" applyBorder="1" applyAlignment="1">
      <alignment horizontal="right" vertical="center" wrapText="1"/>
    </xf>
    <xf numFmtId="0" fontId="6" fillId="4" borderId="0" xfId="0" applyFont="1" applyFill="1"/>
    <xf numFmtId="3" fontId="19" fillId="2" borderId="1" xfId="2" applyNumberFormat="1" applyFont="1" applyFill="1" applyBorder="1" applyAlignment="1">
      <alignment horizontal="right" vertical="center"/>
    </xf>
    <xf numFmtId="3" fontId="19" fillId="2" borderId="1" xfId="2" applyNumberFormat="1" applyFont="1" applyFill="1" applyBorder="1" applyAlignment="1">
      <alignment vertical="center"/>
    </xf>
    <xf numFmtId="167" fontId="19" fillId="0" borderId="1" xfId="2" applyNumberFormat="1" applyFont="1" applyFill="1" applyBorder="1" applyAlignment="1">
      <alignment horizontal="right" vertical="center"/>
    </xf>
    <xf numFmtId="0" fontId="13" fillId="0" borderId="1" xfId="0" applyFont="1" applyBorder="1"/>
    <xf numFmtId="0" fontId="13" fillId="0" borderId="0" xfId="0" applyFont="1" applyAlignment="1">
      <alignment wrapText="1"/>
    </xf>
    <xf numFmtId="0" fontId="13" fillId="0" borderId="1" xfId="0" applyFont="1" applyBorder="1" applyAlignment="1">
      <alignment wrapText="1"/>
    </xf>
    <xf numFmtId="0" fontId="10" fillId="0" borderId="1" xfId="0" applyFont="1" applyBorder="1"/>
    <xf numFmtId="0" fontId="10" fillId="0" borderId="1" xfId="0" applyFont="1" applyBorder="1" applyAlignment="1">
      <alignment wrapText="1"/>
    </xf>
    <xf numFmtId="0" fontId="10" fillId="0" borderId="0" xfId="0" applyFont="1"/>
    <xf numFmtId="0" fontId="10" fillId="0" borderId="0" xfId="0" applyFont="1" applyAlignment="1">
      <alignment wrapText="1"/>
    </xf>
    <xf numFmtId="0" fontId="13" fillId="0" borderId="1" xfId="0" quotePrefix="1" applyFont="1" applyBorder="1" applyAlignment="1">
      <alignment wrapText="1"/>
    </xf>
    <xf numFmtId="166" fontId="44" fillId="0" borderId="0" xfId="37" applyNumberFormat="1" applyFont="1" applyFill="1" applyBorder="1" applyAlignment="1">
      <alignment horizontal="right" vertical="center" wrapText="1"/>
    </xf>
    <xf numFmtId="166" fontId="41" fillId="0" borderId="0" xfId="37" applyNumberFormat="1" applyFont="1" applyFill="1" applyBorder="1" applyAlignment="1">
      <alignment horizontal="right" vertical="center" wrapText="1"/>
    </xf>
    <xf numFmtId="169" fontId="4" fillId="0" borderId="1" xfId="55" quotePrefix="1" applyNumberFormat="1" applyFont="1" applyFill="1" applyBorder="1" applyAlignment="1">
      <alignment horizontal="right" vertical="center" wrapText="1"/>
    </xf>
    <xf numFmtId="171" fontId="8" fillId="0" borderId="0" xfId="32" applyNumberFormat="1" applyFont="1" applyFill="1" applyAlignment="1">
      <alignment vertical="center"/>
    </xf>
    <xf numFmtId="172" fontId="11" fillId="0" borderId="1" xfId="32" applyNumberFormat="1" applyFont="1" applyFill="1" applyBorder="1" applyAlignment="1">
      <alignment vertical="center"/>
    </xf>
    <xf numFmtId="172" fontId="17" fillId="0" borderId="1" xfId="32" applyNumberFormat="1" applyFont="1" applyFill="1" applyBorder="1" applyAlignment="1">
      <alignment vertical="center"/>
    </xf>
    <xf numFmtId="172" fontId="4" fillId="0" borderId="1" xfId="32" applyNumberFormat="1" applyFont="1" applyFill="1" applyBorder="1" applyAlignment="1">
      <alignment vertical="center"/>
    </xf>
    <xf numFmtId="172" fontId="8" fillId="0" borderId="1" xfId="32" applyNumberFormat="1" applyFont="1" applyFill="1" applyBorder="1" applyAlignment="1">
      <alignment vertical="center"/>
    </xf>
    <xf numFmtId="176" fontId="11" fillId="0" borderId="1" xfId="32" applyNumberFormat="1" applyFont="1" applyFill="1" applyBorder="1" applyAlignment="1">
      <alignment vertical="center"/>
    </xf>
    <xf numFmtId="172" fontId="17" fillId="0" borderId="1" xfId="32" applyNumberFormat="1" applyFont="1" applyFill="1" applyBorder="1" applyAlignment="1">
      <alignment horizontal="center" vertical="center" wrapText="1"/>
    </xf>
    <xf numFmtId="176" fontId="17" fillId="0" borderId="1" xfId="32" applyNumberFormat="1" applyFont="1" applyFill="1" applyBorder="1" applyAlignment="1">
      <alignment horizontal="center" vertical="center" wrapText="1"/>
    </xf>
    <xf numFmtId="172" fontId="17" fillId="0" borderId="1" xfId="32" applyNumberFormat="1" applyFont="1" applyFill="1" applyBorder="1" applyAlignment="1">
      <alignment horizontal="right" vertical="center" wrapText="1"/>
    </xf>
    <xf numFmtId="176" fontId="17" fillId="0" borderId="1" xfId="32" applyNumberFormat="1" applyFont="1" applyFill="1" applyBorder="1" applyAlignment="1">
      <alignment horizontal="right" vertical="center" wrapText="1"/>
    </xf>
    <xf numFmtId="172" fontId="4" fillId="0" borderId="1" xfId="32" applyNumberFormat="1" applyFont="1" applyFill="1" applyBorder="1" applyAlignment="1">
      <alignment horizontal="right" vertical="center" wrapText="1"/>
    </xf>
    <xf numFmtId="172" fontId="4" fillId="0" borderId="1" xfId="32" applyNumberFormat="1" applyFont="1" applyFill="1" applyBorder="1" applyAlignment="1">
      <alignment vertical="center" wrapText="1"/>
    </xf>
    <xf numFmtId="176" fontId="4" fillId="0" borderId="1" xfId="32" applyNumberFormat="1" applyFont="1" applyFill="1" applyBorder="1" applyAlignment="1">
      <alignment vertical="center" wrapText="1"/>
    </xf>
    <xf numFmtId="175" fontId="4" fillId="0" borderId="1" xfId="50" applyNumberFormat="1" applyFont="1" applyFill="1" applyBorder="1" applyAlignment="1">
      <alignment horizontal="left" vertical="center" wrapText="1"/>
    </xf>
    <xf numFmtId="175" fontId="4" fillId="0" borderId="1" xfId="50" applyNumberFormat="1" applyFont="1" applyFill="1" applyBorder="1" applyAlignment="1">
      <alignment horizontal="center" vertical="center" wrapText="1"/>
    </xf>
    <xf numFmtId="172" fontId="4" fillId="0" borderId="1" xfId="32" applyNumberFormat="1" applyFont="1" applyFill="1" applyBorder="1" applyAlignment="1">
      <alignment horizontal="center" vertical="center"/>
    </xf>
    <xf numFmtId="172" fontId="4" fillId="0" borderId="1" xfId="32" applyNumberFormat="1" applyFont="1" applyFill="1" applyBorder="1" applyAlignment="1">
      <alignment horizontal="center" vertical="center" wrapText="1"/>
    </xf>
    <xf numFmtId="176" fontId="4" fillId="0" borderId="1" xfId="32" applyNumberFormat="1" applyFont="1" applyFill="1" applyBorder="1" applyAlignment="1">
      <alignment horizontal="center" vertical="center" wrapText="1"/>
    </xf>
    <xf numFmtId="172" fontId="4" fillId="0" borderId="1" xfId="32" quotePrefix="1" applyNumberFormat="1" applyFont="1" applyFill="1" applyBorder="1" applyAlignment="1">
      <alignment horizontal="center" vertical="center" wrapText="1"/>
    </xf>
    <xf numFmtId="172" fontId="4" fillId="0" borderId="1" xfId="32" applyNumberFormat="1" applyFont="1" applyFill="1" applyBorder="1" applyAlignment="1">
      <alignment horizontal="right" vertical="center" shrinkToFit="1"/>
    </xf>
    <xf numFmtId="176" fontId="4" fillId="0" borderId="1" xfId="32" applyNumberFormat="1" applyFont="1" applyFill="1" applyBorder="1" applyAlignment="1">
      <alignment horizontal="right" vertical="center" shrinkToFit="1"/>
    </xf>
    <xf numFmtId="172" fontId="4" fillId="0" borderId="1" xfId="32" applyNumberFormat="1" applyFont="1" applyFill="1" applyBorder="1" applyAlignment="1">
      <alignment horizontal="right" vertical="center"/>
    </xf>
    <xf numFmtId="176" fontId="4" fillId="0" borderId="1" xfId="32" applyNumberFormat="1" applyFont="1" applyFill="1" applyBorder="1"/>
    <xf numFmtId="172" fontId="8" fillId="0" borderId="1" xfId="32" applyNumberFormat="1" applyFont="1" applyFill="1" applyBorder="1" applyAlignment="1">
      <alignment horizontal="right" vertical="center" wrapText="1"/>
    </xf>
    <xf numFmtId="172" fontId="8" fillId="0" borderId="1" xfId="32" applyNumberFormat="1" applyFont="1" applyFill="1" applyBorder="1" applyAlignment="1">
      <alignment horizontal="right" vertical="center"/>
    </xf>
    <xf numFmtId="176" fontId="8" fillId="0" borderId="1" xfId="32" applyNumberFormat="1" applyFont="1" applyFill="1" applyBorder="1" applyAlignment="1">
      <alignment horizontal="right" vertical="center"/>
    </xf>
    <xf numFmtId="172" fontId="8" fillId="0" borderId="1" xfId="32" applyNumberFormat="1" applyFont="1" applyFill="1" applyBorder="1" applyAlignment="1">
      <alignment vertical="center" wrapText="1"/>
    </xf>
    <xf numFmtId="176" fontId="8" fillId="0" borderId="1" xfId="32" applyNumberFormat="1" applyFont="1" applyFill="1" applyBorder="1" applyAlignment="1">
      <alignment vertical="center" wrapText="1"/>
    </xf>
    <xf numFmtId="169" fontId="19" fillId="0" borderId="1" xfId="4" quotePrefix="1" applyNumberFormat="1" applyFont="1" applyFill="1" applyBorder="1" applyAlignment="1">
      <alignment vertical="center" wrapText="1"/>
    </xf>
    <xf numFmtId="169" fontId="19" fillId="0" borderId="1" xfId="4" quotePrefix="1" applyNumberFormat="1" applyFont="1" applyFill="1" applyBorder="1" applyAlignment="1">
      <alignment horizontal="right" vertical="center" wrapText="1"/>
    </xf>
    <xf numFmtId="176" fontId="4" fillId="0" borderId="1" xfId="32" applyNumberFormat="1" applyFont="1" applyFill="1" applyBorder="1" applyAlignment="1">
      <alignment horizontal="right" vertical="center"/>
    </xf>
    <xf numFmtId="169" fontId="4" fillId="0" borderId="1" xfId="37" applyNumberFormat="1" applyFont="1" applyFill="1" applyBorder="1" applyAlignment="1">
      <alignment horizontal="right" vertical="center"/>
    </xf>
    <xf numFmtId="176" fontId="17" fillId="0" borderId="1" xfId="32" applyNumberFormat="1" applyFont="1" applyFill="1" applyBorder="1" applyAlignment="1">
      <alignment horizontal="right" vertical="center"/>
    </xf>
    <xf numFmtId="172" fontId="17" fillId="0" borderId="1" xfId="32" applyNumberFormat="1" applyFont="1" applyFill="1" applyBorder="1" applyAlignment="1">
      <alignment horizontal="right" vertical="center"/>
    </xf>
    <xf numFmtId="172" fontId="4" fillId="0" borderId="1" xfId="32" applyNumberFormat="1" applyFont="1" applyFill="1" applyBorder="1"/>
    <xf numFmtId="172" fontId="44" fillId="0" borderId="1" xfId="32" applyNumberFormat="1" applyFont="1" applyFill="1" applyBorder="1" applyAlignment="1">
      <alignment horizontal="right" vertical="center" wrapText="1"/>
    </xf>
    <xf numFmtId="172" fontId="44" fillId="0" borderId="1" xfId="32" quotePrefix="1" applyNumberFormat="1" applyFont="1" applyFill="1" applyBorder="1" applyAlignment="1">
      <alignment horizontal="right" vertical="center" wrapText="1"/>
    </xf>
    <xf numFmtId="172" fontId="44" fillId="0" borderId="1" xfId="32" applyNumberFormat="1" applyFont="1" applyFill="1" applyBorder="1" applyAlignment="1">
      <alignment vertical="center" wrapText="1"/>
    </xf>
    <xf numFmtId="176" fontId="44" fillId="0" borderId="1" xfId="32" applyNumberFormat="1" applyFont="1" applyFill="1" applyBorder="1" applyAlignment="1">
      <alignment vertical="center" wrapText="1"/>
    </xf>
    <xf numFmtId="172" fontId="44" fillId="0" borderId="1" xfId="37" applyNumberFormat="1" applyFont="1" applyFill="1" applyBorder="1" applyAlignment="1">
      <alignment horizontal="center" vertical="center" wrapText="1"/>
    </xf>
    <xf numFmtId="172" fontId="17" fillId="0" borderId="1" xfId="32" applyNumberFormat="1" applyFont="1" applyFill="1" applyBorder="1" applyAlignment="1">
      <alignment horizontal="right" vertical="center" shrinkToFit="1"/>
    </xf>
    <xf numFmtId="176" fontId="17" fillId="0" borderId="1" xfId="32" applyNumberFormat="1" applyFont="1" applyFill="1" applyBorder="1" applyAlignment="1">
      <alignment horizontal="right" vertical="center" shrinkToFit="1"/>
    </xf>
    <xf numFmtId="172" fontId="18" fillId="0" borderId="1" xfId="32" applyNumberFormat="1" applyFont="1" applyFill="1" applyBorder="1" applyAlignment="1">
      <alignment horizontal="right" vertical="center" shrinkToFit="1"/>
    </xf>
    <xf numFmtId="176" fontId="18" fillId="0" borderId="1" xfId="32" applyNumberFormat="1" applyFont="1" applyFill="1" applyBorder="1" applyAlignment="1">
      <alignment horizontal="right" vertical="center" shrinkToFit="1"/>
    </xf>
    <xf numFmtId="172" fontId="44" fillId="0" borderId="1" xfId="32" applyNumberFormat="1" applyFont="1" applyFill="1" applyBorder="1" applyAlignment="1">
      <alignment horizontal="center" vertical="center" wrapText="1"/>
    </xf>
    <xf numFmtId="172" fontId="54" fillId="0" borderId="1" xfId="32" applyNumberFormat="1" applyFont="1" applyFill="1" applyBorder="1"/>
    <xf numFmtId="172" fontId="47" fillId="0" borderId="1" xfId="32" applyNumberFormat="1" applyFont="1" applyFill="1" applyBorder="1" applyAlignment="1">
      <alignment horizontal="right" vertical="center" shrinkToFit="1"/>
    </xf>
    <xf numFmtId="172" fontId="47" fillId="0" borderId="1" xfId="32" applyNumberFormat="1" applyFont="1" applyFill="1" applyBorder="1" applyAlignment="1">
      <alignment horizontal="center" vertical="center" wrapText="1"/>
    </xf>
    <xf numFmtId="176" fontId="47" fillId="0" borderId="1" xfId="32" applyNumberFormat="1" applyFont="1" applyFill="1" applyBorder="1" applyAlignment="1">
      <alignment horizontal="right" vertical="center" shrinkToFit="1"/>
    </xf>
    <xf numFmtId="172" fontId="50" fillId="0" borderId="1" xfId="32" applyNumberFormat="1" applyFont="1" applyFill="1" applyBorder="1" applyAlignment="1">
      <alignment horizontal="right" vertical="center" shrinkToFit="1"/>
    </xf>
    <xf numFmtId="172" fontId="50" fillId="0" borderId="1" xfId="32" applyNumberFormat="1" applyFont="1" applyFill="1" applyBorder="1" applyAlignment="1">
      <alignment horizontal="center" vertical="center" wrapText="1"/>
    </xf>
    <xf numFmtId="172" fontId="50" fillId="0" borderId="1" xfId="32" quotePrefix="1" applyNumberFormat="1" applyFont="1" applyFill="1" applyBorder="1" applyAlignment="1">
      <alignment horizontal="center" vertical="center" wrapText="1"/>
    </xf>
    <xf numFmtId="176" fontId="50" fillId="0" borderId="1" xfId="32" applyNumberFormat="1" applyFont="1" applyFill="1" applyBorder="1" applyAlignment="1">
      <alignment horizontal="right" vertical="center" shrinkToFit="1"/>
    </xf>
    <xf numFmtId="172" fontId="47" fillId="0" borderId="1" xfId="32" quotePrefix="1" applyNumberFormat="1" applyFont="1" applyFill="1" applyBorder="1" applyAlignment="1">
      <alignment horizontal="center" vertical="center" wrapText="1"/>
    </xf>
    <xf numFmtId="172" fontId="4" fillId="0" borderId="1" xfId="32" quotePrefix="1" applyNumberFormat="1" applyFont="1" applyFill="1" applyBorder="1" applyAlignment="1">
      <alignment horizontal="right" vertical="center" wrapText="1"/>
    </xf>
    <xf numFmtId="176" fontId="44" fillId="0" borderId="1" xfId="32" applyNumberFormat="1" applyFont="1" applyFill="1" applyBorder="1" applyAlignment="1">
      <alignment horizontal="right" vertical="center" wrapText="1"/>
    </xf>
    <xf numFmtId="172" fontId="4" fillId="0" borderId="1" xfId="32" applyNumberFormat="1" applyFont="1" applyFill="1" applyBorder="1" applyAlignment="1">
      <alignment horizontal="right"/>
    </xf>
    <xf numFmtId="176" fontId="4" fillId="0" borderId="1" xfId="32" applyNumberFormat="1" applyFont="1" applyFill="1" applyBorder="1" applyAlignment="1">
      <alignment horizontal="right" vertical="center" wrapText="1"/>
    </xf>
    <xf numFmtId="172" fontId="17" fillId="0" borderId="1" xfId="52" applyNumberFormat="1" applyFont="1" applyFill="1" applyBorder="1" applyAlignment="1">
      <alignment horizontal="center" vertical="center" wrapText="1"/>
    </xf>
    <xf numFmtId="172" fontId="4" fillId="0" borderId="1" xfId="32" quotePrefix="1" applyNumberFormat="1" applyFont="1" applyFill="1" applyBorder="1" applyAlignment="1">
      <alignment horizontal="right" vertical="center"/>
    </xf>
    <xf numFmtId="172" fontId="50" fillId="0" borderId="1" xfId="32" applyNumberFormat="1" applyFont="1" applyFill="1" applyBorder="1" applyAlignment="1">
      <alignment horizontal="right" vertical="center" wrapText="1"/>
    </xf>
    <xf numFmtId="176" fontId="50" fillId="0" borderId="1" xfId="32" applyNumberFormat="1" applyFont="1" applyFill="1" applyBorder="1" applyAlignment="1">
      <alignment horizontal="right" vertical="center" wrapText="1"/>
    </xf>
    <xf numFmtId="166" fontId="50" fillId="0" borderId="1" xfId="32" applyFont="1" applyFill="1" applyBorder="1" applyAlignment="1">
      <alignment horizontal="right" vertical="center" shrinkToFit="1"/>
    </xf>
    <xf numFmtId="172" fontId="62" fillId="0" borderId="1" xfId="32" applyNumberFormat="1" applyFont="1" applyFill="1" applyBorder="1" applyAlignment="1">
      <alignment horizontal="center" vertical="center" wrapText="1"/>
    </xf>
    <xf numFmtId="172" fontId="17" fillId="0" borderId="1" xfId="4" applyNumberFormat="1" applyFont="1" applyFill="1" applyBorder="1" applyAlignment="1">
      <alignment horizontal="left" vertical="center" wrapText="1"/>
    </xf>
    <xf numFmtId="172" fontId="4" fillId="0" borderId="1" xfId="4" applyNumberFormat="1" applyFont="1" applyFill="1" applyBorder="1" applyAlignment="1">
      <alignment horizontal="left" vertical="center" wrapText="1"/>
    </xf>
    <xf numFmtId="172" fontId="17" fillId="0" borderId="1" xfId="32" applyNumberFormat="1" applyFont="1" applyFill="1" applyBorder="1" applyAlignment="1">
      <alignment horizontal="left" vertical="center" wrapText="1"/>
    </xf>
    <xf numFmtId="172" fontId="17" fillId="0" borderId="1" xfId="32" applyNumberFormat="1" applyFont="1" applyFill="1" applyBorder="1" applyAlignment="1">
      <alignment vertical="center" wrapText="1"/>
    </xf>
    <xf numFmtId="172" fontId="51" fillId="0" borderId="1" xfId="32" applyNumberFormat="1" applyFont="1" applyFill="1" applyBorder="1"/>
    <xf numFmtId="172" fontId="17" fillId="0" borderId="1" xfId="32" quotePrefix="1" applyNumberFormat="1" applyFont="1" applyFill="1" applyBorder="1" applyAlignment="1">
      <alignment horizontal="right" vertical="center" wrapText="1"/>
    </xf>
    <xf numFmtId="172" fontId="17" fillId="0" borderId="1" xfId="32" applyNumberFormat="1" applyFont="1" applyFill="1" applyBorder="1" applyAlignment="1">
      <alignment horizontal="center" vertical="center"/>
    </xf>
    <xf numFmtId="172" fontId="4" fillId="0" borderId="1" xfId="4" applyNumberFormat="1" applyFont="1" applyFill="1" applyBorder="1" applyAlignment="1">
      <alignment vertical="center" wrapText="1"/>
    </xf>
    <xf numFmtId="172" fontId="4" fillId="0" borderId="1" xfId="4"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xf>
    <xf numFmtId="0" fontId="31" fillId="0" borderId="1" xfId="0" applyFont="1" applyFill="1" applyBorder="1" applyAlignment="1">
      <alignment horizontal="center" vertical="center"/>
    </xf>
    <xf numFmtId="0" fontId="11" fillId="0" borderId="1" xfId="0" applyFont="1" applyFill="1" applyBorder="1" applyAlignment="1">
      <alignment horizontal="center" vertical="center"/>
    </xf>
    <xf numFmtId="3" fontId="31" fillId="0" borderId="6" xfId="0" applyNumberFormat="1" applyFont="1" applyFill="1" applyBorder="1" applyAlignment="1">
      <alignment horizontal="right" vertical="center" wrapText="1"/>
    </xf>
    <xf numFmtId="3" fontId="31"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xf>
    <xf numFmtId="3" fontId="31" fillId="0" borderId="10" xfId="0" applyNumberFormat="1" applyFont="1" applyFill="1" applyBorder="1" applyAlignment="1">
      <alignment vertical="center"/>
    </xf>
    <xf numFmtId="3" fontId="8"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vertical="center" wrapText="1"/>
    </xf>
    <xf numFmtId="3" fontId="30" fillId="0" borderId="10" xfId="0" applyNumberFormat="1" applyFont="1" applyFill="1" applyBorder="1" applyAlignment="1">
      <alignment vertical="center"/>
    </xf>
    <xf numFmtId="3" fontId="30" fillId="0" borderId="1" xfId="0" applyNumberFormat="1" applyFont="1" applyFill="1" applyBorder="1" applyAlignment="1">
      <alignment vertical="center"/>
    </xf>
    <xf numFmtId="0" fontId="30" fillId="0" borderId="1" xfId="0" applyFont="1" applyFill="1" applyBorder="1" applyAlignment="1">
      <alignment horizontal="center" vertical="center" wrapText="1"/>
    </xf>
    <xf numFmtId="3" fontId="30" fillId="0" borderId="1" xfId="0"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167" fontId="30" fillId="0" borderId="1" xfId="0" applyNumberFormat="1" applyFont="1" applyFill="1" applyBorder="1" applyAlignment="1">
      <alignment vertical="center"/>
    </xf>
    <xf numFmtId="0" fontId="8" fillId="0" borderId="0" xfId="0" applyFont="1" applyFill="1"/>
    <xf numFmtId="0" fontId="11" fillId="0" borderId="0" xfId="0" applyFont="1" applyFill="1" applyAlignment="1">
      <alignment vertical="center"/>
    </xf>
    <xf numFmtId="0" fontId="29" fillId="0" borderId="0" xfId="0" applyFont="1" applyFill="1"/>
    <xf numFmtId="3" fontId="48" fillId="0" borderId="0" xfId="0" applyNumberFormat="1" applyFont="1" applyFill="1"/>
    <xf numFmtId="0" fontId="48" fillId="0" borderId="0" xfId="0" applyFont="1" applyFill="1"/>
    <xf numFmtId="3" fontId="29" fillId="0" borderId="0" xfId="0" applyNumberFormat="1" applyFont="1" applyFill="1"/>
    <xf numFmtId="0" fontId="17" fillId="0" borderId="0" xfId="0" applyFont="1" applyFill="1"/>
    <xf numFmtId="0" fontId="4" fillId="0" borderId="0" xfId="0" applyFont="1" applyFill="1" applyAlignment="1">
      <alignment horizontal="center" vertical="center"/>
    </xf>
    <xf numFmtId="0" fontId="4" fillId="0" borderId="0" xfId="0" applyFont="1" applyFill="1"/>
    <xf numFmtId="0" fontId="4" fillId="0" borderId="1" xfId="0" applyFont="1" applyFill="1" applyBorder="1" applyAlignment="1">
      <alignment horizontal="center" vertical="center"/>
    </xf>
    <xf numFmtId="3" fontId="4" fillId="0" borderId="1" xfId="1" quotePrefix="1" applyNumberFormat="1" applyFont="1" applyFill="1" applyBorder="1" applyAlignment="1">
      <alignment horizontal="center" vertical="center" wrapText="1"/>
    </xf>
    <xf numFmtId="3" fontId="17" fillId="0" borderId="1" xfId="1"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0" fillId="0" borderId="1" xfId="1" quotePrefix="1" applyNumberFormat="1" applyFont="1" applyFill="1" applyBorder="1" applyAlignment="1">
      <alignment horizontal="center" vertical="center" wrapText="1"/>
    </xf>
    <xf numFmtId="3" fontId="17" fillId="0" borderId="1" xfId="1" quotePrefix="1" applyNumberFormat="1" applyFont="1" applyFill="1" applyBorder="1" applyAlignment="1">
      <alignment horizontal="right" vertical="center" wrapText="1"/>
    </xf>
    <xf numFmtId="0" fontId="17" fillId="0" borderId="1" xfId="0" applyFont="1" applyFill="1" applyBorder="1" applyAlignment="1">
      <alignment vertical="center"/>
    </xf>
    <xf numFmtId="3" fontId="17" fillId="0" borderId="0" xfId="0" applyNumberFormat="1" applyFont="1" applyFill="1" applyAlignment="1">
      <alignment vertical="center"/>
    </xf>
    <xf numFmtId="0" fontId="17" fillId="0" borderId="1" xfId="0" applyFont="1" applyFill="1" applyBorder="1" applyAlignment="1">
      <alignment horizontal="center" vertical="center"/>
    </xf>
    <xf numFmtId="0" fontId="17" fillId="0" borderId="0" xfId="0" applyFont="1" applyFill="1" applyAlignment="1">
      <alignment vertical="center"/>
    </xf>
    <xf numFmtId="49" fontId="16" fillId="0" borderId="1" xfId="1" quotePrefix="1" applyNumberFormat="1" applyFont="1" applyFill="1" applyBorder="1" applyAlignment="1">
      <alignment horizontal="center" vertical="center" wrapText="1"/>
    </xf>
    <xf numFmtId="3" fontId="16" fillId="0" borderId="1" xfId="1" applyNumberFormat="1" applyFont="1" applyFill="1" applyBorder="1" applyAlignment="1">
      <alignment horizontal="left" vertical="center" wrapText="1"/>
    </xf>
    <xf numFmtId="49" fontId="17" fillId="0" borderId="1" xfId="1" applyNumberFormat="1" applyFont="1" applyFill="1" applyBorder="1" applyAlignment="1">
      <alignment horizontal="center" vertical="center"/>
    </xf>
    <xf numFmtId="1" fontId="17" fillId="0" borderId="1" xfId="1" applyNumberFormat="1" applyFont="1" applyFill="1" applyBorder="1" applyAlignment="1">
      <alignment vertical="center" wrapText="1"/>
    </xf>
    <xf numFmtId="3" fontId="4" fillId="0" borderId="1" xfId="1" quotePrefix="1" applyNumberFormat="1" applyFont="1" applyFill="1" applyBorder="1" applyAlignment="1">
      <alignment horizontal="left" vertical="center" wrapText="1"/>
    </xf>
    <xf numFmtId="1" fontId="4" fillId="0" borderId="1" xfId="1" quotePrefix="1" applyNumberFormat="1" applyFont="1" applyFill="1" applyBorder="1" applyAlignment="1">
      <alignment horizontal="center" vertical="center" wrapText="1"/>
    </xf>
    <xf numFmtId="3" fontId="21" fillId="0" borderId="1" xfId="1" quotePrefix="1" applyNumberFormat="1" applyFont="1" applyFill="1" applyBorder="1" applyAlignment="1">
      <alignment horizontal="center" vertical="center" wrapText="1"/>
    </xf>
    <xf numFmtId="3" fontId="4" fillId="0" borderId="1" xfId="1" quotePrefix="1"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1" fontId="17" fillId="0" borderId="1" xfId="1" quotePrefix="1" applyNumberFormat="1" applyFont="1" applyFill="1" applyBorder="1" applyAlignment="1">
      <alignment horizontal="center" vertical="center" wrapText="1"/>
    </xf>
    <xf numFmtId="49" fontId="18" fillId="0" borderId="1" xfId="1" quotePrefix="1" applyNumberFormat="1" applyFont="1" applyFill="1" applyBorder="1" applyAlignment="1">
      <alignment horizontal="center" vertical="center"/>
    </xf>
    <xf numFmtId="1" fontId="18" fillId="0" borderId="1" xfId="1" applyNumberFormat="1" applyFont="1" applyFill="1" applyBorder="1" applyAlignment="1">
      <alignment vertical="center" wrapText="1"/>
    </xf>
    <xf numFmtId="0" fontId="18" fillId="0" borderId="1" xfId="0" applyFont="1" applyFill="1" applyBorder="1" applyAlignment="1">
      <alignment horizontal="center" vertical="center" wrapText="1"/>
    </xf>
    <xf numFmtId="3" fontId="18" fillId="0" borderId="1" xfId="1" quotePrefix="1" applyNumberFormat="1" applyFont="1" applyFill="1" applyBorder="1" applyAlignment="1">
      <alignment horizontal="center" vertical="center" wrapText="1"/>
    </xf>
    <xf numFmtId="1" fontId="18" fillId="0" borderId="1" xfId="1" quotePrefix="1" applyNumberFormat="1" applyFont="1" applyFill="1" applyBorder="1" applyAlignment="1">
      <alignment horizontal="center" vertical="center" wrapText="1"/>
    </xf>
    <xf numFmtId="3" fontId="22" fillId="0" borderId="1" xfId="1" quotePrefix="1" applyNumberFormat="1" applyFont="1" applyFill="1" applyBorder="1" applyAlignment="1">
      <alignment horizontal="center" vertical="center" wrapText="1"/>
    </xf>
    <xf numFmtId="3" fontId="18" fillId="0" borderId="1" xfId="1" quotePrefix="1" applyNumberFormat="1" applyFont="1" applyFill="1" applyBorder="1" applyAlignment="1">
      <alignment horizontal="right" vertical="center" wrapText="1"/>
    </xf>
    <xf numFmtId="0" fontId="18" fillId="0" borderId="1" xfId="0" applyFont="1" applyFill="1" applyBorder="1" applyAlignment="1">
      <alignment vertical="center"/>
    </xf>
    <xf numFmtId="0" fontId="18" fillId="0" borderId="1" xfId="0" applyFont="1" applyFill="1" applyBorder="1" applyAlignment="1">
      <alignment horizontal="center" vertical="center"/>
    </xf>
    <xf numFmtId="0" fontId="18" fillId="0" borderId="0" xfId="0" applyFont="1" applyFill="1" applyAlignment="1">
      <alignment vertical="center"/>
    </xf>
    <xf numFmtId="3" fontId="4" fillId="0" borderId="1" xfId="1" quotePrefix="1" applyNumberFormat="1" applyFont="1" applyFill="1" applyBorder="1" applyAlignment="1">
      <alignment vertical="center" wrapText="1"/>
    </xf>
    <xf numFmtId="3" fontId="17" fillId="0" borderId="1" xfId="1" quotePrefix="1" applyNumberFormat="1" applyFont="1" applyFill="1" applyBorder="1" applyAlignment="1">
      <alignment horizontal="left" vertical="center" wrapText="1"/>
    </xf>
    <xf numFmtId="3" fontId="17" fillId="0" borderId="1" xfId="0" applyNumberFormat="1" applyFont="1" applyFill="1" applyBorder="1" applyAlignment="1">
      <alignment vertical="center"/>
    </xf>
    <xf numFmtId="1" fontId="4" fillId="0" borderId="1" xfId="1" applyNumberFormat="1" applyFont="1" applyFill="1" applyBorder="1" applyAlignment="1">
      <alignment horizontal="center" vertical="center"/>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horizontal="center" vertical="center" wrapText="1"/>
    </xf>
    <xf numFmtId="3" fontId="4" fillId="0" borderId="1" xfId="2" quotePrefix="1" applyNumberFormat="1" applyFont="1" applyFill="1" applyBorder="1" applyAlignment="1">
      <alignment horizontal="right" vertical="center" wrapText="1"/>
    </xf>
    <xf numFmtId="3" fontId="4" fillId="0" borderId="1" xfId="0" applyNumberFormat="1" applyFont="1" applyFill="1" applyBorder="1" applyAlignment="1">
      <alignment vertical="center"/>
    </xf>
    <xf numFmtId="0" fontId="4" fillId="0" borderId="1" xfId="0" applyFont="1" applyFill="1" applyBorder="1" applyAlignment="1">
      <alignment vertical="center"/>
    </xf>
    <xf numFmtId="0" fontId="4" fillId="0" borderId="0" xfId="0" applyFont="1" applyFill="1" applyAlignment="1">
      <alignment vertical="center"/>
    </xf>
    <xf numFmtId="1" fontId="21" fillId="0" borderId="1" xfId="1" applyNumberFormat="1" applyFont="1" applyFill="1" applyBorder="1" applyAlignment="1">
      <alignment horizontal="center" vertical="center" wrapText="1"/>
    </xf>
    <xf numFmtId="1" fontId="17" fillId="0" borderId="1" xfId="1" applyNumberFormat="1" applyFont="1" applyFill="1" applyBorder="1" applyAlignment="1">
      <alignment horizontal="center" vertical="center"/>
    </xf>
    <xf numFmtId="1" fontId="17" fillId="0" borderId="1" xfId="1" applyNumberFormat="1" applyFont="1" applyFill="1" applyBorder="1" applyAlignment="1">
      <alignment horizontal="center" vertical="center" wrapText="1"/>
    </xf>
    <xf numFmtId="3" fontId="17" fillId="0" borderId="1" xfId="2" quotePrefix="1" applyNumberFormat="1" applyFont="1" applyFill="1" applyBorder="1" applyAlignment="1">
      <alignment horizontal="right" vertical="center" wrapText="1"/>
    </xf>
    <xf numFmtId="3" fontId="4" fillId="0" borderId="0" xfId="0" applyNumberFormat="1" applyFont="1" applyFill="1" applyAlignment="1">
      <alignment vertical="center"/>
    </xf>
    <xf numFmtId="49"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5" fillId="0" borderId="1" xfId="0" applyFont="1" applyFill="1" applyBorder="1" applyAlignment="1">
      <alignment horizontal="center" vertical="center" wrapText="1"/>
    </xf>
    <xf numFmtId="1" fontId="5" fillId="0" borderId="1" xfId="1" quotePrefix="1"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4" fillId="0" borderId="1" xfId="1" applyNumberFormat="1" applyFont="1" applyFill="1" applyBorder="1" applyAlignment="1">
      <alignment vertical="center" wrapText="1"/>
    </xf>
    <xf numFmtId="1" fontId="18" fillId="0" borderId="1" xfId="1" applyNumberFormat="1" applyFont="1" applyFill="1" applyBorder="1" applyAlignment="1">
      <alignment horizontal="center" vertical="center" wrapText="1"/>
    </xf>
    <xf numFmtId="3" fontId="18" fillId="0" borderId="1" xfId="2" quotePrefix="1" applyNumberFormat="1" applyFont="1" applyFill="1" applyBorder="1" applyAlignment="1">
      <alignment horizontal="right" vertical="center" wrapText="1"/>
    </xf>
    <xf numFmtId="3" fontId="4" fillId="0" borderId="1" xfId="1" applyNumberFormat="1" applyFont="1" applyFill="1" applyBorder="1" applyAlignment="1">
      <alignment vertical="center" wrapText="1"/>
    </xf>
    <xf numFmtId="3" fontId="4" fillId="0" borderId="1" xfId="0" applyNumberFormat="1" applyFont="1" applyFill="1" applyBorder="1" applyAlignment="1">
      <alignment vertical="center" wrapText="1"/>
    </xf>
    <xf numFmtId="3" fontId="21" fillId="0" borderId="1" xfId="1" quotePrefix="1" applyNumberFormat="1" applyFont="1" applyFill="1" applyBorder="1" applyAlignment="1">
      <alignment horizontal="center" wrapText="1"/>
    </xf>
    <xf numFmtId="0" fontId="17" fillId="0" borderId="0" xfId="0" applyFont="1" applyFill="1" applyAlignment="1">
      <alignment vertical="center" wrapText="1"/>
    </xf>
    <xf numFmtId="1" fontId="4" fillId="0" borderId="1" xfId="1" quotePrefix="1" applyNumberFormat="1" applyFont="1" applyFill="1" applyBorder="1" applyAlignment="1">
      <alignment vertical="center" wrapText="1"/>
    </xf>
    <xf numFmtId="1" fontId="4" fillId="0" borderId="1" xfId="5" applyNumberFormat="1" applyFont="1" applyFill="1" applyBorder="1" applyAlignment="1">
      <alignment vertical="center" wrapText="1"/>
    </xf>
    <xf numFmtId="0" fontId="18" fillId="0" borderId="1" xfId="1" applyFont="1" applyFill="1" applyBorder="1" applyAlignment="1">
      <alignment horizontal="center" vertical="center"/>
    </xf>
    <xf numFmtId="0" fontId="4" fillId="0" borderId="0" xfId="0" applyFont="1" applyFill="1" applyAlignment="1">
      <alignment horizontal="center"/>
    </xf>
    <xf numFmtId="0" fontId="8" fillId="0" borderId="0" xfId="31" applyFont="1" applyFill="1" applyAlignment="1">
      <alignment vertical="center"/>
    </xf>
    <xf numFmtId="0" fontId="40" fillId="0" borderId="0" xfId="31" applyFont="1" applyFill="1" applyAlignment="1">
      <alignment vertical="center"/>
    </xf>
    <xf numFmtId="0" fontId="40" fillId="0" borderId="0" xfId="31" applyFont="1" applyFill="1" applyAlignment="1">
      <alignment horizontal="right" vertical="center"/>
    </xf>
    <xf numFmtId="172" fontId="8" fillId="0" borderId="0" xfId="31" applyNumberFormat="1" applyFont="1" applyFill="1" applyAlignment="1">
      <alignment vertical="center"/>
    </xf>
    <xf numFmtId="1" fontId="8" fillId="0" borderId="1" xfId="1" applyNumberFormat="1" applyFont="1" applyFill="1" applyBorder="1" applyAlignment="1">
      <alignment horizontal="right" vertical="center"/>
    </xf>
    <xf numFmtId="1" fontId="11" fillId="0" borderId="1" xfId="1" applyNumberFormat="1" applyFont="1" applyFill="1" applyBorder="1" applyAlignment="1">
      <alignment horizontal="center" vertical="center" wrapText="1"/>
    </xf>
    <xf numFmtId="173" fontId="8" fillId="0" borderId="0" xfId="31" applyNumberFormat="1" applyFont="1" applyFill="1" applyAlignment="1">
      <alignment vertical="center"/>
    </xf>
    <xf numFmtId="0" fontId="17" fillId="0" borderId="1" xfId="33" applyFont="1" applyFill="1" applyBorder="1" applyAlignment="1">
      <alignment horizontal="center" vertical="center"/>
    </xf>
    <xf numFmtId="0" fontId="17" fillId="0" borderId="1" xfId="33" applyFont="1" applyFill="1" applyBorder="1" applyAlignment="1">
      <alignment vertical="center" wrapText="1"/>
    </xf>
    <xf numFmtId="0" fontId="17" fillId="0" borderId="1" xfId="33" applyFont="1" applyFill="1" applyBorder="1" applyAlignment="1">
      <alignment vertical="center"/>
    </xf>
    <xf numFmtId="0" fontId="8" fillId="0" borderId="1" xfId="31" applyFont="1" applyFill="1" applyBorder="1" applyAlignment="1">
      <alignment vertical="center"/>
    </xf>
    <xf numFmtId="0" fontId="4" fillId="0" borderId="1" xfId="34" applyFont="1" applyFill="1" applyBorder="1" applyAlignment="1">
      <alignment horizontal="center" vertical="center" wrapText="1"/>
    </xf>
    <xf numFmtId="0" fontId="4" fillId="0" borderId="1" xfId="34" applyFont="1" applyFill="1" applyBorder="1" applyAlignment="1">
      <alignment horizontal="left" vertical="center" wrapText="1"/>
    </xf>
    <xf numFmtId="0" fontId="8" fillId="0" borderId="1" xfId="33" applyFont="1" applyFill="1" applyBorder="1" applyAlignment="1">
      <alignment horizontal="center" vertical="center" wrapText="1"/>
    </xf>
    <xf numFmtId="0" fontId="17" fillId="0" borderId="1" xfId="34" quotePrefix="1" applyFont="1" applyFill="1" applyBorder="1" applyAlignment="1">
      <alignment horizontal="left" vertical="center" wrapText="1"/>
    </xf>
    <xf numFmtId="0" fontId="11" fillId="0" borderId="1" xfId="31" applyFont="1" applyFill="1" applyBorder="1" applyAlignment="1">
      <alignment vertical="center"/>
    </xf>
    <xf numFmtId="0" fontId="11" fillId="0" borderId="0" xfId="31" applyFont="1" applyFill="1" applyAlignment="1">
      <alignment vertical="center"/>
    </xf>
    <xf numFmtId="0" fontId="11" fillId="0" borderId="1" xfId="33" applyFont="1" applyFill="1" applyBorder="1" applyAlignment="1">
      <alignment horizontal="center" vertical="center" wrapText="1"/>
    </xf>
    <xf numFmtId="3" fontId="8" fillId="0" borderId="0" xfId="31" applyNumberFormat="1" applyFont="1" applyFill="1" applyAlignment="1">
      <alignment vertical="center"/>
    </xf>
    <xf numFmtId="3" fontId="19" fillId="0" borderId="1" xfId="1" quotePrefix="1" applyNumberFormat="1" applyFont="1" applyFill="1" applyBorder="1" applyAlignment="1">
      <alignment vertical="center" wrapText="1"/>
    </xf>
    <xf numFmtId="177" fontId="8" fillId="0" borderId="0" xfId="31" applyNumberFormat="1" applyFont="1" applyFill="1" applyAlignment="1">
      <alignment vertical="center"/>
    </xf>
    <xf numFmtId="3" fontId="17" fillId="0" borderId="1" xfId="1" applyNumberFormat="1" applyFont="1" applyFill="1" applyBorder="1" applyAlignment="1">
      <alignment horizontal="left" vertical="center" wrapText="1"/>
    </xf>
    <xf numFmtId="0" fontId="17" fillId="0" borderId="1" xfId="33" quotePrefix="1" applyFont="1" applyFill="1" applyBorder="1" applyAlignment="1">
      <alignment horizontal="center" vertical="center" wrapText="1"/>
    </xf>
    <xf numFmtId="0" fontId="17" fillId="0" borderId="1" xfId="33" applyFont="1" applyFill="1" applyBorder="1" applyAlignment="1">
      <alignment horizontal="left" vertical="center" wrapText="1"/>
    </xf>
    <xf numFmtId="0" fontId="17" fillId="0" borderId="1" xfId="33" applyFont="1" applyFill="1" applyBorder="1" applyAlignment="1">
      <alignment horizontal="center" vertical="center" wrapText="1"/>
    </xf>
    <xf numFmtId="0" fontId="4" fillId="0" borderId="1" xfId="33" quotePrefix="1" applyFont="1" applyFill="1" applyBorder="1" applyAlignment="1">
      <alignment horizontal="center" vertical="center" wrapText="1"/>
    </xf>
    <xf numFmtId="0" fontId="4" fillId="0" borderId="1" xfId="33" applyFont="1" applyFill="1" applyBorder="1" applyAlignment="1">
      <alignment vertical="center" wrapText="1"/>
    </xf>
    <xf numFmtId="0" fontId="4" fillId="0" borderId="1" xfId="33" applyFont="1" applyFill="1" applyBorder="1" applyAlignment="1">
      <alignment horizontal="center" vertical="center" wrapText="1"/>
    </xf>
    <xf numFmtId="0" fontId="4" fillId="0" borderId="1" xfId="33" applyFont="1" applyFill="1" applyBorder="1" applyAlignment="1">
      <alignment horizontal="left" vertical="center" wrapText="1"/>
    </xf>
    <xf numFmtId="165" fontId="4" fillId="0" borderId="1" xfId="1" applyNumberFormat="1" applyFont="1" applyFill="1" applyBorder="1" applyAlignment="1">
      <alignment horizontal="center" vertical="center" wrapText="1"/>
    </xf>
    <xf numFmtId="49" fontId="4" fillId="0" borderId="1" xfId="17" applyNumberFormat="1" applyFont="1" applyFill="1" applyBorder="1" applyAlignment="1">
      <alignment horizontal="left" vertical="center" wrapText="1"/>
    </xf>
    <xf numFmtId="0" fontId="4" fillId="0" borderId="1" xfId="31" applyFont="1" applyFill="1" applyBorder="1" applyAlignment="1">
      <alignment vertical="center" wrapText="1"/>
    </xf>
    <xf numFmtId="49" fontId="17" fillId="0" borderId="1" xfId="17" applyNumberFormat="1" applyFont="1" applyFill="1" applyBorder="1" applyAlignment="1">
      <alignment horizontal="left" vertical="center" wrapText="1"/>
    </xf>
    <xf numFmtId="3" fontId="4" fillId="0" borderId="1" xfId="1" applyNumberFormat="1" applyFont="1" applyFill="1" applyBorder="1" applyAlignment="1">
      <alignment horizontal="center" vertical="center" wrapText="1"/>
    </xf>
    <xf numFmtId="0" fontId="8" fillId="0" borderId="1" xfId="14" applyFont="1" applyFill="1" applyBorder="1" applyAlignment="1">
      <alignment horizontal="center" vertical="center" wrapText="1"/>
    </xf>
    <xf numFmtId="3" fontId="8" fillId="0" borderId="1" xfId="14" applyNumberFormat="1" applyFont="1" applyFill="1" applyBorder="1" applyAlignment="1">
      <alignment horizontal="right" vertical="center" wrapText="1"/>
    </xf>
    <xf numFmtId="3" fontId="8" fillId="0" borderId="1" xfId="14" applyNumberFormat="1" applyFont="1" applyFill="1" applyBorder="1" applyAlignment="1">
      <alignment horizontal="right" vertical="center"/>
    </xf>
    <xf numFmtId="0" fontId="4" fillId="0" borderId="1" xfId="33" applyFont="1" applyFill="1" applyBorder="1" applyAlignment="1">
      <alignment horizontal="center" vertical="center"/>
    </xf>
    <xf numFmtId="0" fontId="8" fillId="0" borderId="16" xfId="14" applyFont="1" applyFill="1" applyBorder="1" applyAlignment="1">
      <alignment horizontal="justify" wrapText="1"/>
    </xf>
    <xf numFmtId="3" fontId="8" fillId="0" borderId="16" xfId="0" applyNumberFormat="1" applyFont="1" applyFill="1" applyBorder="1" applyAlignment="1">
      <alignment horizontal="center" wrapText="1"/>
    </xf>
    <xf numFmtId="3" fontId="8" fillId="0" borderId="16" xfId="0" applyNumberFormat="1" applyFont="1" applyFill="1" applyBorder="1" applyAlignment="1">
      <alignment horizontal="right" wrapText="1"/>
    </xf>
    <xf numFmtId="169" fontId="8" fillId="0" borderId="0" xfId="31" applyNumberFormat="1" applyFont="1" applyFill="1" applyAlignment="1">
      <alignment vertical="center"/>
    </xf>
    <xf numFmtId="14" fontId="4" fillId="0" borderId="1" xfId="33" applyNumberFormat="1" applyFont="1" applyFill="1" applyBorder="1" applyAlignment="1">
      <alignment horizontal="center" vertical="center" wrapText="1"/>
    </xf>
    <xf numFmtId="0" fontId="4" fillId="0" borderId="1" xfId="41" applyFont="1" applyFill="1" applyBorder="1" applyAlignment="1">
      <alignment vertical="center" wrapText="1"/>
    </xf>
    <xf numFmtId="1" fontId="4" fillId="0" borderId="1" xfId="45" applyNumberFormat="1" applyFont="1" applyFill="1" applyBorder="1" applyAlignment="1">
      <alignment horizontal="center" vertical="center"/>
    </xf>
    <xf numFmtId="1" fontId="4" fillId="0" borderId="1" xfId="44" applyNumberFormat="1" applyFont="1" applyFill="1" applyBorder="1" applyAlignment="1">
      <alignment vertical="center" wrapText="1"/>
    </xf>
    <xf numFmtId="0" fontId="11" fillId="0" borderId="1" xfId="31" applyFont="1" applyFill="1" applyBorder="1" applyAlignment="1">
      <alignment horizontal="center" vertical="center"/>
    </xf>
    <xf numFmtId="1" fontId="11" fillId="0" borderId="1" xfId="1" applyNumberFormat="1" applyFont="1" applyFill="1" applyBorder="1" applyAlignment="1">
      <alignment vertical="center" wrapText="1"/>
    </xf>
    <xf numFmtId="1" fontId="17" fillId="0" borderId="1" xfId="1" applyNumberFormat="1" applyFont="1" applyFill="1" applyBorder="1" applyAlignment="1">
      <alignment horizontal="left" vertical="center" wrapText="1"/>
    </xf>
    <xf numFmtId="0" fontId="4" fillId="0" borderId="1" xfId="33" applyFont="1" applyFill="1" applyBorder="1" applyAlignment="1">
      <alignment horizontal="justify" vertical="center" wrapText="1"/>
    </xf>
    <xf numFmtId="0" fontId="8" fillId="0" borderId="1" xfId="31" applyFont="1" applyFill="1" applyBorder="1" applyAlignment="1">
      <alignment horizontal="center" vertical="center" wrapText="1"/>
    </xf>
    <xf numFmtId="1" fontId="11" fillId="0" borderId="1" xfId="1" applyNumberFormat="1" applyFont="1" applyFill="1" applyBorder="1" applyAlignment="1">
      <alignment horizontal="left" vertical="center" wrapText="1"/>
    </xf>
    <xf numFmtId="0" fontId="8" fillId="0" borderId="1" xfId="31" applyFont="1" applyFill="1" applyBorder="1" applyAlignment="1">
      <alignment horizontal="center" vertical="center"/>
    </xf>
    <xf numFmtId="0" fontId="8" fillId="0" borderId="1" xfId="33" applyFont="1" applyFill="1" applyBorder="1" applyAlignment="1">
      <alignment horizontal="justify" vertical="center" wrapText="1"/>
    </xf>
    <xf numFmtId="0" fontId="11" fillId="0" borderId="1" xfId="31" applyFont="1" applyFill="1" applyBorder="1" applyAlignment="1">
      <alignment vertical="center" wrapText="1"/>
    </xf>
    <xf numFmtId="1" fontId="8" fillId="0" borderId="1" xfId="1" applyNumberFormat="1" applyFont="1" applyFill="1" applyBorder="1" applyAlignment="1">
      <alignment horizontal="center" vertical="center" wrapText="1"/>
    </xf>
    <xf numFmtId="1" fontId="8" fillId="0" borderId="1" xfId="1" applyNumberFormat="1" applyFont="1" applyFill="1" applyBorder="1" applyAlignment="1">
      <alignment horizontal="left" vertical="center" wrapText="1"/>
    </xf>
    <xf numFmtId="0" fontId="8" fillId="0" borderId="1" xfId="31" applyFont="1" applyFill="1" applyBorder="1" applyAlignment="1">
      <alignment vertical="center" wrapText="1"/>
    </xf>
    <xf numFmtId="176" fontId="8" fillId="0" borderId="1" xfId="1" applyNumberFormat="1" applyFont="1" applyFill="1" applyBorder="1" applyAlignment="1">
      <alignment horizontal="left" vertical="center" wrapText="1"/>
    </xf>
    <xf numFmtId="1" fontId="16" fillId="0" borderId="0" xfId="1" applyNumberFormat="1" applyFont="1" applyFill="1" applyAlignment="1">
      <alignment horizontal="center" vertical="center"/>
    </xf>
    <xf numFmtId="1" fontId="38" fillId="0" borderId="0" xfId="1" applyNumberFormat="1" applyFont="1" applyFill="1" applyAlignment="1">
      <alignment vertical="center"/>
    </xf>
    <xf numFmtId="1" fontId="16" fillId="0" borderId="0" xfId="1" applyNumberFormat="1" applyFont="1" applyFill="1" applyAlignment="1">
      <alignment horizontal="center" vertical="center" wrapText="1"/>
    </xf>
    <xf numFmtId="1" fontId="19" fillId="0" borderId="0" xfId="1" applyNumberFormat="1" applyFont="1" applyFill="1" applyAlignment="1">
      <alignment vertical="center"/>
    </xf>
    <xf numFmtId="1" fontId="38" fillId="0" borderId="0" xfId="1" applyNumberFormat="1" applyFont="1" applyFill="1" applyAlignment="1">
      <alignment vertical="center" wrapText="1"/>
    </xf>
    <xf numFmtId="1" fontId="38" fillId="0" borderId="0" xfId="1" applyNumberFormat="1" applyFont="1" applyFill="1" applyAlignment="1">
      <alignment horizontal="right" vertical="center"/>
    </xf>
    <xf numFmtId="3" fontId="19" fillId="0" borderId="0" xfId="1" applyNumberFormat="1" applyFont="1" applyFill="1" applyAlignment="1">
      <alignment horizontal="center" vertical="center" wrapText="1"/>
    </xf>
    <xf numFmtId="3" fontId="38" fillId="0"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3" fontId="19" fillId="0" borderId="1" xfId="1" quotePrefix="1" applyNumberFormat="1" applyFont="1" applyFill="1" applyBorder="1" applyAlignment="1">
      <alignment horizontal="center" vertical="center" wrapText="1"/>
    </xf>
    <xf numFmtId="0" fontId="19" fillId="0" borderId="0" xfId="1" applyFont="1" applyFill="1" applyAlignment="1">
      <alignment horizontal="center" vertical="center" wrapText="1"/>
    </xf>
    <xf numFmtId="3" fontId="19" fillId="0" borderId="0" xfId="1" applyNumberFormat="1" applyFont="1" applyFill="1" applyAlignment="1">
      <alignment vertical="center" wrapText="1"/>
    </xf>
    <xf numFmtId="3" fontId="19" fillId="0" borderId="1" xfId="1" applyNumberFormat="1" applyFont="1" applyFill="1" applyBorder="1" applyAlignment="1">
      <alignment vertical="center" wrapText="1"/>
    </xf>
    <xf numFmtId="3" fontId="16" fillId="0" borderId="1" xfId="1" applyNumberFormat="1" applyFont="1" applyFill="1" applyBorder="1" applyAlignment="1">
      <alignment horizontal="center" vertical="center" wrapText="1"/>
    </xf>
    <xf numFmtId="3" fontId="16" fillId="0" borderId="1" xfId="1" quotePrefix="1" applyNumberFormat="1" applyFont="1" applyFill="1" applyBorder="1" applyAlignment="1">
      <alignment horizontal="center" vertical="center" wrapText="1"/>
    </xf>
    <xf numFmtId="3" fontId="16" fillId="0" borderId="1" xfId="1" quotePrefix="1" applyNumberFormat="1" applyFont="1" applyFill="1" applyBorder="1" applyAlignment="1">
      <alignment vertical="center" wrapText="1"/>
    </xf>
    <xf numFmtId="3" fontId="16" fillId="0" borderId="0" xfId="1" quotePrefix="1" applyNumberFormat="1" applyFont="1" applyFill="1" applyAlignment="1">
      <alignment horizontal="center" vertical="center" wrapText="1"/>
    </xf>
    <xf numFmtId="3" fontId="16" fillId="0" borderId="0" xfId="1" applyNumberFormat="1" applyFont="1" applyFill="1" applyAlignment="1">
      <alignment vertical="center" wrapText="1"/>
    </xf>
    <xf numFmtId="3" fontId="16" fillId="0" borderId="1" xfId="1" applyNumberFormat="1" applyFont="1" applyFill="1" applyBorder="1" applyAlignment="1">
      <alignment vertical="center" wrapText="1"/>
    </xf>
    <xf numFmtId="0" fontId="19" fillId="0" borderId="1" xfId="1" quotePrefix="1" applyFont="1" applyFill="1" applyBorder="1" applyAlignment="1">
      <alignment horizontal="center" vertical="center" wrapText="1"/>
    </xf>
    <xf numFmtId="3" fontId="19" fillId="0" borderId="1" xfId="1" applyNumberFormat="1" applyFont="1" applyFill="1" applyBorder="1" applyAlignment="1">
      <alignment horizontal="left" vertical="center" wrapText="1"/>
    </xf>
    <xf numFmtId="3" fontId="19" fillId="0" borderId="0" xfId="1" quotePrefix="1" applyNumberFormat="1" applyFont="1" applyFill="1" applyAlignment="1">
      <alignment horizontal="center" vertical="center" wrapText="1"/>
    </xf>
    <xf numFmtId="3" fontId="19" fillId="0" borderId="1" xfId="1" quotePrefix="1" applyNumberFormat="1" applyFont="1" applyFill="1" applyBorder="1" applyAlignment="1">
      <alignment horizontal="left" vertical="center" wrapText="1"/>
    </xf>
    <xf numFmtId="49" fontId="19" fillId="0" borderId="1" xfId="1" quotePrefix="1" applyNumberFormat="1" applyFont="1" applyFill="1" applyBorder="1" applyAlignment="1">
      <alignment horizontal="center" vertical="center" wrapText="1"/>
    </xf>
    <xf numFmtId="3" fontId="19" fillId="0" borderId="1" xfId="1" quotePrefix="1" applyNumberFormat="1" applyFont="1" applyFill="1" applyBorder="1" applyAlignment="1">
      <alignment horizontal="right" vertical="center" wrapText="1"/>
    </xf>
    <xf numFmtId="49" fontId="23" fillId="0" borderId="1" xfId="1" applyNumberFormat="1" applyFont="1" applyFill="1" applyBorder="1" applyAlignment="1">
      <alignment horizontal="center" vertical="center"/>
    </xf>
    <xf numFmtId="1" fontId="23" fillId="0" borderId="1" xfId="1" applyNumberFormat="1" applyFont="1" applyFill="1" applyBorder="1" applyAlignment="1">
      <alignment vertical="center" wrapText="1"/>
    </xf>
    <xf numFmtId="3" fontId="38" fillId="0" borderId="1" xfId="1" quotePrefix="1" applyNumberFormat="1" applyFont="1" applyFill="1" applyBorder="1" applyAlignment="1">
      <alignment horizontal="center" vertical="center" wrapText="1"/>
    </xf>
    <xf numFmtId="3" fontId="23" fillId="0" borderId="1" xfId="1" quotePrefix="1" applyNumberFormat="1" applyFont="1" applyFill="1" applyBorder="1" applyAlignment="1">
      <alignment vertical="center" wrapText="1"/>
    </xf>
    <xf numFmtId="3" fontId="38" fillId="0" borderId="0" xfId="1" quotePrefix="1" applyNumberFormat="1" applyFont="1" applyFill="1" applyAlignment="1">
      <alignment horizontal="center" vertical="center" wrapText="1"/>
    </xf>
    <xf numFmtId="3" fontId="38" fillId="0" borderId="0" xfId="1" applyNumberFormat="1" applyFont="1" applyFill="1" applyAlignment="1">
      <alignment vertical="center" wrapText="1"/>
    </xf>
    <xf numFmtId="3" fontId="38" fillId="0" borderId="1" xfId="1" applyNumberFormat="1" applyFont="1" applyFill="1" applyBorder="1" applyAlignment="1">
      <alignment vertical="center" wrapText="1"/>
    </xf>
    <xf numFmtId="3" fontId="19" fillId="0" borderId="10" xfId="1" quotePrefix="1" applyNumberFormat="1" applyFont="1" applyFill="1" applyBorder="1" applyAlignment="1">
      <alignment horizontal="center" vertical="center" wrapText="1"/>
    </xf>
    <xf numFmtId="3" fontId="23" fillId="0" borderId="1" xfId="1" quotePrefix="1" applyNumberFormat="1" applyFont="1" applyFill="1" applyBorder="1" applyAlignment="1">
      <alignment horizontal="center" vertical="center" wrapText="1"/>
    </xf>
    <xf numFmtId="3" fontId="23" fillId="0" borderId="0" xfId="1" quotePrefix="1" applyNumberFormat="1" applyFont="1" applyFill="1" applyAlignment="1">
      <alignment horizontal="center" vertical="center" wrapText="1"/>
    </xf>
    <xf numFmtId="3" fontId="23" fillId="0" borderId="0" xfId="1" applyNumberFormat="1" applyFont="1" applyFill="1" applyAlignment="1">
      <alignment vertical="center" wrapText="1"/>
    </xf>
    <xf numFmtId="3" fontId="23" fillId="0" borderId="1" xfId="1" applyNumberFormat="1" applyFont="1" applyFill="1" applyBorder="1" applyAlignment="1">
      <alignment vertical="center" wrapText="1"/>
    </xf>
    <xf numFmtId="49" fontId="23" fillId="0" borderId="1" xfId="1" quotePrefix="1" applyNumberFormat="1" applyFont="1" applyFill="1" applyBorder="1" applyAlignment="1">
      <alignment horizontal="center" vertical="center" wrapText="1"/>
    </xf>
    <xf numFmtId="3" fontId="23" fillId="0" borderId="1" xfId="1" applyNumberFormat="1" applyFont="1" applyFill="1" applyBorder="1" applyAlignment="1">
      <alignment horizontal="left" vertical="center" wrapText="1"/>
    </xf>
    <xf numFmtId="3" fontId="16" fillId="0" borderId="13" xfId="1" quotePrefix="1" applyNumberFormat="1" applyFont="1" applyFill="1" applyBorder="1" applyAlignment="1">
      <alignment horizontal="center" vertical="center" wrapText="1"/>
    </xf>
    <xf numFmtId="1" fontId="17" fillId="0" borderId="13" xfId="1" applyNumberFormat="1" applyFont="1" applyFill="1" applyBorder="1" applyAlignment="1">
      <alignment horizontal="center" vertical="center" wrapText="1"/>
    </xf>
    <xf numFmtId="3" fontId="17" fillId="0" borderId="13" xfId="1" quotePrefix="1" applyNumberFormat="1" applyFont="1" applyFill="1" applyBorder="1" applyAlignment="1">
      <alignment horizontal="center" vertical="center" wrapText="1"/>
    </xf>
    <xf numFmtId="3" fontId="16" fillId="0" borderId="13" xfId="1" quotePrefix="1" applyNumberFormat="1" applyFont="1" applyFill="1" applyBorder="1" applyAlignment="1">
      <alignment vertical="center" wrapText="1"/>
    </xf>
    <xf numFmtId="0" fontId="19" fillId="0" borderId="13" xfId="1" quotePrefix="1" applyFont="1" applyFill="1" applyBorder="1" applyAlignment="1">
      <alignment horizontal="center" vertical="center" wrapText="1"/>
    </xf>
    <xf numFmtId="3" fontId="19" fillId="0" borderId="13" xfId="1" applyNumberFormat="1" applyFont="1" applyFill="1" applyBorder="1" applyAlignment="1">
      <alignment horizontal="left" vertical="center" wrapText="1"/>
    </xf>
    <xf numFmtId="3" fontId="19" fillId="0" borderId="13" xfId="1" quotePrefix="1" applyNumberFormat="1" applyFont="1" applyFill="1" applyBorder="1" applyAlignment="1">
      <alignment horizontal="center" vertical="center" wrapText="1"/>
    </xf>
    <xf numFmtId="1" fontId="4" fillId="0" borderId="13" xfId="1" applyNumberFormat="1" applyFont="1" applyFill="1" applyBorder="1" applyAlignment="1">
      <alignment horizontal="center" vertical="center" wrapText="1"/>
    </xf>
    <xf numFmtId="3" fontId="4" fillId="0" borderId="13" xfId="1" quotePrefix="1" applyNumberFormat="1" applyFont="1" applyFill="1" applyBorder="1" applyAlignment="1">
      <alignment horizontal="center" vertical="center" wrapText="1"/>
    </xf>
    <xf numFmtId="3" fontId="19" fillId="0" borderId="13" xfId="1" quotePrefix="1" applyNumberFormat="1" applyFont="1" applyFill="1" applyBorder="1" applyAlignment="1">
      <alignment vertical="center" wrapText="1"/>
    </xf>
    <xf numFmtId="3" fontId="23" fillId="0" borderId="13" xfId="1" quotePrefix="1" applyNumberFormat="1" applyFont="1" applyFill="1" applyBorder="1" applyAlignment="1">
      <alignment horizontal="center" vertical="center" wrapText="1"/>
    </xf>
    <xf numFmtId="1" fontId="18" fillId="0" borderId="13" xfId="1" applyNumberFormat="1" applyFont="1" applyFill="1" applyBorder="1" applyAlignment="1">
      <alignment horizontal="center" vertical="center" wrapText="1"/>
    </xf>
    <xf numFmtId="3" fontId="18" fillId="0" borderId="13" xfId="1" quotePrefix="1" applyNumberFormat="1" applyFont="1" applyFill="1" applyBorder="1" applyAlignment="1">
      <alignment horizontal="center" vertical="center" wrapText="1"/>
    </xf>
    <xf numFmtId="3" fontId="23" fillId="0" borderId="13" xfId="1" quotePrefix="1" applyNumberFormat="1" applyFont="1" applyFill="1" applyBorder="1" applyAlignment="1">
      <alignment vertical="center" wrapText="1"/>
    </xf>
    <xf numFmtId="49" fontId="19" fillId="0" borderId="13" xfId="1" applyNumberFormat="1" applyFont="1" applyFill="1" applyBorder="1" applyAlignment="1">
      <alignment horizontal="center" vertical="center"/>
    </xf>
    <xf numFmtId="1" fontId="19" fillId="0" borderId="13" xfId="1" applyNumberFormat="1" applyFont="1" applyFill="1" applyBorder="1" applyAlignment="1">
      <alignment vertical="center" wrapText="1"/>
    </xf>
    <xf numFmtId="1" fontId="19" fillId="0" borderId="13" xfId="1" applyNumberFormat="1" applyFont="1" applyFill="1" applyBorder="1" applyAlignment="1">
      <alignment horizontal="center" vertical="center" wrapText="1"/>
    </xf>
    <xf numFmtId="1" fontId="19" fillId="0" borderId="13" xfId="1" applyNumberFormat="1" applyFont="1" applyFill="1" applyBorder="1" applyAlignment="1">
      <alignment horizontal="right" vertical="center"/>
    </xf>
    <xf numFmtId="1" fontId="19" fillId="0" borderId="0" xfId="1" applyNumberFormat="1" applyFont="1" applyFill="1" applyAlignment="1">
      <alignment horizontal="right" vertical="center"/>
    </xf>
    <xf numFmtId="1" fontId="19" fillId="0" borderId="1" xfId="1" applyNumberFormat="1" applyFont="1" applyFill="1" applyBorder="1" applyAlignment="1">
      <alignment vertical="center"/>
    </xf>
    <xf numFmtId="49" fontId="19" fillId="0" borderId="0" xfId="1" applyNumberFormat="1" applyFont="1" applyFill="1" applyAlignment="1">
      <alignment horizontal="center" vertical="center"/>
    </xf>
    <xf numFmtId="1" fontId="19" fillId="0" borderId="0" xfId="1" applyNumberFormat="1" applyFont="1" applyFill="1" applyAlignment="1">
      <alignment vertical="center" wrapText="1"/>
    </xf>
    <xf numFmtId="1" fontId="19" fillId="0" borderId="0" xfId="1" applyNumberFormat="1" applyFont="1" applyFill="1" applyAlignment="1">
      <alignment horizontal="center" vertical="center" wrapText="1"/>
    </xf>
    <xf numFmtId="1" fontId="19" fillId="0" borderId="0" xfId="1" applyNumberFormat="1" applyFont="1" applyFill="1" applyAlignment="1">
      <alignment horizontal="left" vertical="center" wrapText="1"/>
    </xf>
    <xf numFmtId="0" fontId="17" fillId="0" borderId="0" xfId="33" applyFont="1" applyFill="1" applyAlignment="1">
      <alignment horizontal="center" vertical="top"/>
    </xf>
    <xf numFmtId="0" fontId="65" fillId="0" borderId="0" xfId="33" applyFont="1" applyFill="1"/>
    <xf numFmtId="0" fontId="17" fillId="0" borderId="0" xfId="33" applyFont="1" applyFill="1" applyAlignment="1">
      <alignment horizontal="center" vertical="top" wrapText="1"/>
    </xf>
    <xf numFmtId="0" fontId="5" fillId="0" borderId="0" xfId="33" applyFont="1" applyFill="1" applyAlignment="1">
      <alignment horizontal="center" vertical="top"/>
    </xf>
    <xf numFmtId="0" fontId="66" fillId="0" borderId="0" xfId="33" applyFont="1" applyFill="1"/>
    <xf numFmtId="0" fontId="5" fillId="0" borderId="0" xfId="33" applyFont="1" applyFill="1" applyAlignment="1">
      <alignment horizontal="right" vertical="top"/>
    </xf>
    <xf numFmtId="0" fontId="4" fillId="0" borderId="0" xfId="33" applyFont="1" applyFill="1" applyAlignment="1">
      <alignment horizontal="center" vertical="center" wrapText="1"/>
    </xf>
    <xf numFmtId="0" fontId="28" fillId="0" borderId="0" xfId="33" applyFont="1" applyFill="1"/>
    <xf numFmtId="0" fontId="17" fillId="0" borderId="1" xfId="53" applyFont="1" applyFill="1" applyBorder="1" applyAlignment="1">
      <alignment horizontal="center" vertical="center" wrapText="1"/>
    </xf>
    <xf numFmtId="172" fontId="17" fillId="0" borderId="1" xfId="53" applyNumberFormat="1" applyFont="1" applyFill="1" applyBorder="1" applyAlignment="1">
      <alignment horizontal="center" vertical="center" wrapText="1"/>
    </xf>
    <xf numFmtId="0" fontId="17" fillId="0" borderId="0" xfId="53" applyFont="1" applyFill="1" applyAlignment="1">
      <alignment horizontal="center" vertical="center" wrapText="1"/>
    </xf>
    <xf numFmtId="0" fontId="43" fillId="0" borderId="0" xfId="53" applyFont="1" applyFill="1"/>
    <xf numFmtId="0" fontId="53" fillId="0" borderId="1" xfId="33" applyFont="1" applyFill="1" applyBorder="1"/>
    <xf numFmtId="172" fontId="43" fillId="0" borderId="0" xfId="33" applyNumberFormat="1" applyFont="1" applyFill="1"/>
    <xf numFmtId="0" fontId="43" fillId="0" borderId="0" xfId="33" applyFont="1" applyFill="1"/>
    <xf numFmtId="172" fontId="17" fillId="0" borderId="1" xfId="33" applyNumberFormat="1" applyFont="1" applyFill="1" applyBorder="1" applyAlignment="1">
      <alignment horizontal="center" vertical="center" wrapText="1"/>
    </xf>
    <xf numFmtId="0" fontId="54" fillId="0" borderId="1" xfId="33" applyFont="1" applyFill="1" applyBorder="1"/>
    <xf numFmtId="0" fontId="17" fillId="0" borderId="1" xfId="33" applyFont="1" applyFill="1" applyBorder="1" applyAlignment="1">
      <alignment horizontal="justify" vertical="center" wrapText="1"/>
    </xf>
    <xf numFmtId="1" fontId="44" fillId="0" borderId="1" xfId="1" applyNumberFormat="1" applyFont="1" applyFill="1" applyBorder="1" applyAlignment="1">
      <alignment horizontal="center" vertical="center" wrapText="1"/>
    </xf>
    <xf numFmtId="0" fontId="17" fillId="0" borderId="1" xfId="33" applyFont="1" applyFill="1" applyBorder="1"/>
    <xf numFmtId="172" fontId="16" fillId="0" borderId="0" xfId="33" applyNumberFormat="1" applyFont="1" applyFill="1"/>
    <xf numFmtId="0" fontId="16" fillId="0" borderId="0" xfId="33" applyFont="1" applyFill="1"/>
    <xf numFmtId="0" fontId="4" fillId="0" borderId="1" xfId="33" applyFont="1" applyFill="1" applyBorder="1"/>
    <xf numFmtId="0" fontId="19" fillId="0" borderId="0" xfId="33" applyFont="1" applyFill="1"/>
    <xf numFmtId="0" fontId="44" fillId="0" borderId="1" xfId="33" applyFont="1" applyFill="1" applyBorder="1" applyAlignment="1">
      <alignment horizontal="center" vertical="center" wrapText="1"/>
    </xf>
    <xf numFmtId="0" fontId="44" fillId="0" borderId="1" xfId="33" applyFont="1" applyFill="1" applyBorder="1" applyAlignment="1">
      <alignment horizontal="left" vertical="center" wrapText="1"/>
    </xf>
    <xf numFmtId="0" fontId="50" fillId="0" borderId="1" xfId="33" applyFont="1" applyFill="1" applyBorder="1" applyAlignment="1">
      <alignment vertical="center" wrapText="1"/>
    </xf>
    <xf numFmtId="172" fontId="31" fillId="0" borderId="0" xfId="33" applyNumberFormat="1" applyFont="1" applyFill="1" applyAlignment="1">
      <alignment vertical="center" wrapText="1"/>
    </xf>
    <xf numFmtId="0" fontId="31" fillId="0" borderId="0" xfId="33" applyFont="1" applyFill="1" applyAlignment="1">
      <alignment vertical="center" wrapText="1"/>
    </xf>
    <xf numFmtId="0" fontId="47" fillId="0" borderId="1" xfId="33" quotePrefix="1" applyFont="1" applyFill="1" applyBorder="1" applyAlignment="1">
      <alignment horizontal="center" vertical="center" wrapText="1"/>
    </xf>
    <xf numFmtId="1" fontId="47" fillId="0" borderId="1" xfId="1" applyNumberFormat="1" applyFont="1" applyFill="1" applyBorder="1" applyAlignment="1">
      <alignment horizontal="left" vertical="center" wrapText="1"/>
    </xf>
    <xf numFmtId="0" fontId="47" fillId="0" borderId="1" xfId="33" applyFont="1" applyFill="1" applyBorder="1" applyAlignment="1">
      <alignment horizontal="center" vertical="center" wrapText="1"/>
    </xf>
    <xf numFmtId="0" fontId="46" fillId="0" borderId="1" xfId="33" applyFont="1" applyFill="1" applyBorder="1"/>
    <xf numFmtId="0" fontId="45" fillId="0" borderId="0" xfId="33" applyFont="1" applyFill="1"/>
    <xf numFmtId="172" fontId="50" fillId="0" borderId="0" xfId="33" applyNumberFormat="1" applyFont="1" applyFill="1" applyAlignment="1">
      <alignment vertical="center" wrapText="1"/>
    </xf>
    <xf numFmtId="0" fontId="50" fillId="0" borderId="0" xfId="33" applyFont="1" applyFill="1" applyAlignment="1">
      <alignment vertical="center" wrapText="1"/>
    </xf>
    <xf numFmtId="166" fontId="50" fillId="0" borderId="0" xfId="33" applyNumberFormat="1" applyFont="1" applyFill="1" applyAlignment="1">
      <alignment vertical="center" wrapText="1"/>
    </xf>
    <xf numFmtId="0" fontId="47" fillId="0" borderId="1" xfId="33" applyFont="1" applyFill="1" applyBorder="1" applyAlignment="1">
      <alignment horizontal="center" vertical="center"/>
    </xf>
    <xf numFmtId="0" fontId="47" fillId="0" borderId="1" xfId="33" applyFont="1" applyFill="1" applyBorder="1" applyAlignment="1">
      <alignment horizontal="left" vertical="center" wrapText="1"/>
    </xf>
    <xf numFmtId="0" fontId="50" fillId="0" borderId="1" xfId="33" applyFont="1" applyFill="1" applyBorder="1" applyAlignment="1">
      <alignment horizontal="center" vertical="center"/>
    </xf>
    <xf numFmtId="1" fontId="50" fillId="0" borderId="1" xfId="1" applyNumberFormat="1" applyFont="1" applyFill="1" applyBorder="1" applyAlignment="1">
      <alignment horizontal="left" vertical="center" wrapText="1"/>
    </xf>
    <xf numFmtId="0" fontId="50" fillId="0" borderId="1" xfId="33" applyFont="1" applyFill="1" applyBorder="1" applyAlignment="1">
      <alignment horizontal="center" vertical="center" wrapText="1"/>
    </xf>
    <xf numFmtId="0" fontId="49" fillId="0" borderId="1" xfId="33" applyFont="1" applyFill="1" applyBorder="1"/>
    <xf numFmtId="0" fontId="48" fillId="0" borderId="0" xfId="33" applyFont="1" applyFill="1"/>
    <xf numFmtId="0" fontId="47" fillId="0" borderId="1" xfId="34" applyFont="1" applyFill="1" applyBorder="1" applyAlignment="1">
      <alignment horizontal="left" vertical="center" wrapText="1"/>
    </xf>
    <xf numFmtId="172" fontId="11" fillId="0" borderId="0" xfId="33" applyNumberFormat="1" applyFont="1" applyFill="1"/>
    <xf numFmtId="0" fontId="11" fillId="0" borderId="0" xfId="33" applyFont="1" applyFill="1"/>
    <xf numFmtId="0" fontId="57" fillId="0" borderId="0" xfId="33" applyFont="1" applyFill="1"/>
    <xf numFmtId="3" fontId="4" fillId="0" borderId="1" xfId="33" applyNumberFormat="1" applyFont="1" applyFill="1" applyBorder="1" applyAlignment="1">
      <alignment vertical="center"/>
    </xf>
    <xf numFmtId="0" fontId="8" fillId="0" borderId="0" xfId="33" applyFont="1" applyFill="1" applyAlignment="1">
      <alignment vertical="center"/>
    </xf>
    <xf numFmtId="0" fontId="59" fillId="0" borderId="0" xfId="33" applyFont="1" applyFill="1" applyAlignment="1">
      <alignment vertical="center"/>
    </xf>
    <xf numFmtId="0" fontId="4" fillId="0" borderId="1" xfId="33" applyFont="1" applyFill="1" applyBorder="1" applyAlignment="1">
      <alignment vertical="center"/>
    </xf>
    <xf numFmtId="0" fontId="8" fillId="0" borderId="0" xfId="33" applyFont="1" applyFill="1"/>
    <xf numFmtId="172" fontId="11" fillId="0" borderId="0" xfId="33" applyNumberFormat="1" applyFont="1" applyFill="1" applyAlignment="1">
      <alignment vertical="center"/>
    </xf>
    <xf numFmtId="0" fontId="11" fillId="0" borderId="0" xfId="33" applyFont="1" applyFill="1" applyAlignment="1">
      <alignment vertical="center"/>
    </xf>
    <xf numFmtId="0" fontId="17" fillId="0" borderId="0" xfId="33" applyFont="1" applyFill="1" applyAlignment="1">
      <alignment vertical="center" wrapText="1"/>
    </xf>
    <xf numFmtId="0" fontId="17" fillId="0" borderId="1" xfId="47" applyFont="1" applyFill="1" applyBorder="1" applyAlignment="1">
      <alignment horizontal="center" vertical="center" wrapText="1"/>
    </xf>
    <xf numFmtId="0" fontId="4" fillId="0" borderId="1" xfId="47" applyFont="1" applyFill="1" applyBorder="1" applyAlignment="1">
      <alignment horizontal="center" vertical="center" wrapText="1"/>
    </xf>
    <xf numFmtId="0" fontId="54" fillId="0" borderId="0" xfId="33" applyFont="1" applyFill="1" applyAlignment="1">
      <alignment vertical="center"/>
    </xf>
    <xf numFmtId="0" fontId="4" fillId="0" borderId="1" xfId="51" applyFont="1" applyFill="1" applyBorder="1" applyAlignment="1">
      <alignment horizontal="justify" vertical="center" wrapText="1"/>
    </xf>
    <xf numFmtId="0" fontId="4" fillId="0" borderId="1" xfId="43" applyFont="1" applyFill="1" applyBorder="1" applyAlignment="1">
      <alignment horizontal="justify" vertical="center" wrapText="1"/>
    </xf>
    <xf numFmtId="3" fontId="4" fillId="0" borderId="1" xfId="33" quotePrefix="1" applyNumberFormat="1" applyFont="1" applyFill="1" applyBorder="1" applyAlignment="1">
      <alignment horizontal="center" vertical="center" wrapText="1"/>
    </xf>
    <xf numFmtId="3" fontId="17" fillId="0" borderId="1" xfId="33" applyNumberFormat="1" applyFont="1" applyFill="1" applyBorder="1" applyAlignment="1">
      <alignment vertical="center" wrapText="1"/>
    </xf>
    <xf numFmtId="172" fontId="52" fillId="0" borderId="0" xfId="33" applyNumberFormat="1" applyFont="1" applyFill="1"/>
    <xf numFmtId="0" fontId="52" fillId="0" borderId="0" xfId="33" applyFont="1" applyFill="1"/>
    <xf numFmtId="3" fontId="4" fillId="0" borderId="1" xfId="33" applyNumberFormat="1" applyFont="1" applyFill="1" applyBorder="1" applyAlignment="1">
      <alignment vertical="center" wrapText="1"/>
    </xf>
    <xf numFmtId="0" fontId="51" fillId="0" borderId="0" xfId="33" applyFont="1" applyFill="1"/>
    <xf numFmtId="3" fontId="4" fillId="0" borderId="1" xfId="33" applyNumberFormat="1" applyFont="1" applyFill="1" applyBorder="1" applyAlignment="1">
      <alignment horizontal="center" vertical="center" wrapText="1"/>
    </xf>
    <xf numFmtId="0" fontId="50" fillId="0" borderId="1" xfId="33" applyFont="1" applyFill="1" applyBorder="1" applyAlignment="1">
      <alignment horizontal="left" vertical="center" wrapText="1"/>
    </xf>
    <xf numFmtId="3" fontId="44" fillId="0" borderId="1" xfId="1" applyNumberFormat="1" applyFont="1" applyFill="1" applyBorder="1" applyAlignment="1">
      <alignment horizontal="left" vertical="center" wrapText="1"/>
    </xf>
    <xf numFmtId="49" fontId="50" fillId="0" borderId="1" xfId="1" applyNumberFormat="1" applyFont="1" applyFill="1" applyBorder="1" applyAlignment="1">
      <alignment horizontal="center" vertical="center"/>
    </xf>
    <xf numFmtId="49" fontId="47" fillId="0" borderId="1" xfId="1" applyNumberFormat="1" applyFont="1" applyFill="1" applyBorder="1" applyAlignment="1">
      <alignment horizontal="center" vertical="center"/>
    </xf>
    <xf numFmtId="0" fontId="44" fillId="0" borderId="1" xfId="38" applyFont="1" applyFill="1" applyBorder="1" applyAlignment="1">
      <alignment horizontal="left" vertical="center" wrapText="1"/>
    </xf>
    <xf numFmtId="0" fontId="44" fillId="0" borderId="1" xfId="49" applyFont="1" applyFill="1" applyBorder="1" applyAlignment="1">
      <alignment horizontal="left" vertical="center" wrapText="1"/>
    </xf>
    <xf numFmtId="0" fontId="44" fillId="0" borderId="1" xfId="49" applyFont="1" applyFill="1" applyBorder="1" applyAlignment="1">
      <alignment vertical="center" wrapText="1"/>
    </xf>
    <xf numFmtId="0" fontId="44" fillId="0" borderId="1" xfId="38" applyFont="1" applyFill="1" applyBorder="1" applyAlignment="1">
      <alignment vertical="center" wrapText="1"/>
    </xf>
    <xf numFmtId="3" fontId="50" fillId="0" borderId="1" xfId="1" applyNumberFormat="1" applyFont="1" applyFill="1" applyBorder="1" applyAlignment="1">
      <alignment horizontal="left" vertical="center" wrapText="1"/>
    </xf>
    <xf numFmtId="0" fontId="62" fillId="0" borderId="1" xfId="33" applyFont="1" applyFill="1" applyBorder="1" applyAlignment="1">
      <alignment horizontal="center" vertical="center" wrapText="1"/>
    </xf>
    <xf numFmtId="0" fontId="61" fillId="0" borderId="1" xfId="33" applyFont="1" applyFill="1" applyBorder="1"/>
    <xf numFmtId="0" fontId="60" fillId="0" borderId="0" xfId="33" applyFont="1" applyFill="1"/>
    <xf numFmtId="0" fontId="17" fillId="0" borderId="1" xfId="41" applyFont="1" applyFill="1" applyBorder="1" applyAlignment="1">
      <alignment vertical="center" wrapText="1"/>
    </xf>
    <xf numFmtId="0" fontId="4" fillId="0" borderId="1" xfId="1" applyFont="1" applyFill="1" applyBorder="1" applyAlignment="1">
      <alignment horizontal="left" vertical="center" wrapText="1"/>
    </xf>
    <xf numFmtId="4" fontId="51" fillId="0" borderId="1" xfId="33" applyNumberFormat="1" applyFont="1" applyFill="1" applyBorder="1"/>
    <xf numFmtId="0" fontId="58" fillId="0" borderId="0" xfId="33" applyFont="1" applyFill="1"/>
    <xf numFmtId="0" fontId="8" fillId="0" borderId="0" xfId="33" applyFont="1" applyFill="1" applyAlignment="1">
      <alignment horizontal="center" vertical="center" wrapText="1"/>
    </xf>
    <xf numFmtId="0" fontId="58" fillId="0" borderId="0" xfId="33" applyFont="1" applyFill="1" applyAlignment="1">
      <alignment horizontal="center" vertical="center" wrapText="1"/>
    </xf>
    <xf numFmtId="4" fontId="4" fillId="0" borderId="1" xfId="33" applyNumberFormat="1" applyFont="1" applyFill="1" applyBorder="1" applyAlignment="1">
      <alignment horizontal="center" vertical="center" wrapText="1"/>
    </xf>
    <xf numFmtId="0" fontId="4" fillId="0" borderId="1" xfId="48" applyFont="1" applyFill="1" applyBorder="1" applyAlignment="1">
      <alignment horizontal="center" vertical="center" wrapText="1"/>
    </xf>
    <xf numFmtId="3" fontId="17" fillId="0" borderId="1" xfId="1" applyNumberFormat="1" applyFont="1" applyFill="1" applyBorder="1" applyAlignment="1">
      <alignment vertical="center" wrapText="1"/>
    </xf>
    <xf numFmtId="174" fontId="51" fillId="0" borderId="1" xfId="33" applyNumberFormat="1" applyFont="1" applyFill="1" applyBorder="1"/>
    <xf numFmtId="3" fontId="4" fillId="0" borderId="1" xfId="1" applyNumberFormat="1" applyFont="1" applyFill="1" applyBorder="1" applyAlignment="1">
      <alignment horizontal="center"/>
    </xf>
    <xf numFmtId="3" fontId="17" fillId="0" borderId="1" xfId="1" applyNumberFormat="1" applyFont="1" applyFill="1" applyBorder="1" applyAlignment="1">
      <alignment horizontal="center" vertical="center"/>
    </xf>
    <xf numFmtId="1" fontId="17" fillId="0" borderId="1" xfId="45" applyNumberFormat="1" applyFont="1" applyFill="1" applyBorder="1" applyAlignment="1">
      <alignment horizontal="center" vertical="center"/>
    </xf>
    <xf numFmtId="0" fontId="17" fillId="0" borderId="1" xfId="46" applyFont="1" applyFill="1" applyBorder="1" applyAlignment="1">
      <alignment horizontal="center" vertical="center" wrapText="1"/>
    </xf>
    <xf numFmtId="0" fontId="17" fillId="0" borderId="1" xfId="43" applyFont="1" applyFill="1" applyBorder="1" applyAlignment="1">
      <alignment horizontal="justify" vertical="center" wrapText="1"/>
    </xf>
    <xf numFmtId="0" fontId="4" fillId="0" borderId="0" xfId="33" applyFont="1" applyFill="1" applyAlignment="1">
      <alignment vertical="center"/>
    </xf>
    <xf numFmtId="172" fontId="53" fillId="0" borderId="0" xfId="33" applyNumberFormat="1" applyFont="1" applyFill="1"/>
    <xf numFmtId="0" fontId="44" fillId="0" borderId="1" xfId="33" applyFont="1" applyFill="1" applyBorder="1" applyAlignment="1">
      <alignment horizontal="justify" vertical="center" wrapText="1"/>
    </xf>
    <xf numFmtId="164" fontId="8" fillId="0" borderId="1" xfId="2" applyFont="1" applyFill="1" applyBorder="1" applyAlignment="1">
      <alignment vertical="center"/>
    </xf>
    <xf numFmtId="0" fontId="13" fillId="0" borderId="1" xfId="31" applyFont="1" applyFill="1" applyBorder="1" applyAlignment="1">
      <alignment vertical="center" wrapText="1"/>
    </xf>
    <xf numFmtId="3" fontId="4" fillId="0" borderId="1" xfId="1" applyNumberFormat="1" applyFont="1" applyFill="1" applyBorder="1" applyAlignment="1">
      <alignment horizontal="center" vertical="center"/>
    </xf>
    <xf numFmtId="172" fontId="43" fillId="0" borderId="0" xfId="33" applyNumberFormat="1" applyFont="1" applyFill="1" applyAlignment="1">
      <alignment vertical="center"/>
    </xf>
    <xf numFmtId="3" fontId="4" fillId="0" borderId="1" xfId="47" applyNumberFormat="1" applyFont="1" applyFill="1" applyBorder="1" applyAlignment="1">
      <alignment horizontal="center" vertical="center" wrapText="1"/>
    </xf>
    <xf numFmtId="0" fontId="17" fillId="0" borderId="1" xfId="0" quotePrefix="1" applyFont="1" applyFill="1" applyBorder="1" applyAlignment="1">
      <alignment horizontal="center" vertical="center" wrapText="1"/>
    </xf>
    <xf numFmtId="3"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wrapText="1"/>
    </xf>
    <xf numFmtId="3" fontId="8" fillId="0" borderId="1" xfId="1" quotePrefix="1" applyNumberFormat="1" applyFont="1" applyFill="1" applyBorder="1" applyAlignment="1">
      <alignment horizontal="center" vertical="center" wrapText="1"/>
    </xf>
    <xf numFmtId="0" fontId="11" fillId="0" borderId="1" xfId="33" applyFont="1" applyFill="1" applyBorder="1" applyAlignment="1">
      <alignment horizontal="center" vertical="center"/>
    </xf>
    <xf numFmtId="0" fontId="11" fillId="0" borderId="1" xfId="33" applyFont="1" applyFill="1" applyBorder="1" applyAlignment="1">
      <alignment vertical="center" wrapText="1"/>
    </xf>
    <xf numFmtId="0" fontId="11" fillId="0" borderId="1" xfId="33" applyFont="1" applyFill="1" applyBorder="1" applyAlignment="1">
      <alignment vertical="center"/>
    </xf>
    <xf numFmtId="0" fontId="11" fillId="0" borderId="1" xfId="33" quotePrefix="1" applyFont="1" applyFill="1" applyBorder="1" applyAlignment="1">
      <alignment horizontal="center" vertical="center"/>
    </xf>
    <xf numFmtId="0" fontId="8" fillId="0" borderId="1" xfId="34" applyFont="1" applyFill="1" applyBorder="1" applyAlignment="1">
      <alignment horizontal="center" vertical="center" wrapText="1"/>
    </xf>
    <xf numFmtId="0" fontId="8" fillId="0" borderId="1" xfId="34" applyFont="1" applyFill="1" applyBorder="1" applyAlignment="1">
      <alignment horizontal="left" vertical="center"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34" applyFont="1" applyFill="1" applyBorder="1" applyAlignment="1">
      <alignment horizontal="center" vertical="center" wrapText="1"/>
    </xf>
    <xf numFmtId="0" fontId="11" fillId="0" borderId="1" xfId="34" quotePrefix="1" applyFont="1" applyFill="1" applyBorder="1" applyAlignment="1">
      <alignment horizontal="left" vertical="center" wrapText="1"/>
    </xf>
    <xf numFmtId="1" fontId="11" fillId="0" borderId="1" xfId="1" quotePrefix="1" applyNumberFormat="1" applyFont="1" applyFill="1" applyBorder="1" applyAlignment="1">
      <alignment horizontal="center" vertical="center" wrapText="1"/>
    </xf>
    <xf numFmtId="1" fontId="8" fillId="0" borderId="1" xfId="1" applyNumberFormat="1" applyFont="1" applyFill="1" applyBorder="1" applyAlignment="1">
      <alignment vertical="center" wrapText="1"/>
    </xf>
    <xf numFmtId="3" fontId="11" fillId="0" borderId="1" xfId="1" quotePrefix="1" applyNumberFormat="1" applyFont="1" applyFill="1" applyBorder="1" applyAlignment="1">
      <alignment horizontal="center" vertical="center" wrapText="1"/>
    </xf>
    <xf numFmtId="1" fontId="11" fillId="0" borderId="1" xfId="1" quotePrefix="1" applyNumberFormat="1" applyFont="1" applyFill="1" applyBorder="1" applyAlignment="1">
      <alignment horizontal="left" vertical="center" wrapText="1"/>
    </xf>
    <xf numFmtId="3" fontId="8" fillId="0" borderId="1" xfId="35" applyNumberFormat="1" applyFont="1" applyFill="1" applyBorder="1" applyAlignment="1">
      <alignment horizontal="center" vertical="center" wrapText="1"/>
    </xf>
    <xf numFmtId="0" fontId="8" fillId="0" borderId="1" xfId="35" applyFont="1" applyFill="1" applyBorder="1" applyAlignment="1">
      <alignment horizontal="left" vertical="center" wrapText="1"/>
    </xf>
    <xf numFmtId="172" fontId="8" fillId="0" borderId="1" xfId="10" applyNumberFormat="1" applyFont="1" applyFill="1" applyBorder="1" applyAlignment="1">
      <alignment horizontal="center" vertical="center" wrapText="1"/>
    </xf>
    <xf numFmtId="0" fontId="8" fillId="0" borderId="1" xfId="34" applyFont="1" applyFill="1" applyBorder="1" applyAlignment="1">
      <alignment vertical="center" wrapText="1"/>
    </xf>
    <xf numFmtId="3" fontId="8" fillId="0" borderId="1" xfId="1" quotePrefix="1" applyNumberFormat="1" applyFont="1" applyFill="1" applyBorder="1" applyAlignment="1">
      <alignment vertical="center" wrapText="1"/>
    </xf>
    <xf numFmtId="0" fontId="8" fillId="0" borderId="1" xfId="34" applyFont="1" applyFill="1" applyBorder="1" applyAlignment="1">
      <alignment horizontal="justify" vertical="center" wrapText="1"/>
    </xf>
    <xf numFmtId="0" fontId="8" fillId="0" borderId="1" xfId="1" applyFont="1" applyFill="1" applyBorder="1" applyAlignment="1">
      <alignment horizontal="center" vertical="center" wrapText="1"/>
    </xf>
    <xf numFmtId="1" fontId="8" fillId="0" borderId="1" xfId="1" quotePrefix="1" applyNumberFormat="1" applyFont="1" applyFill="1" applyBorder="1" applyAlignment="1">
      <alignment vertical="center" wrapText="1"/>
    </xf>
    <xf numFmtId="3" fontId="8" fillId="0" borderId="1" xfId="34" applyNumberFormat="1" applyFont="1" applyFill="1" applyBorder="1" applyAlignment="1">
      <alignment vertical="center" wrapText="1"/>
    </xf>
    <xf numFmtId="3" fontId="8" fillId="0" borderId="1" xfId="36" applyNumberFormat="1" applyFont="1" applyFill="1" applyBorder="1" applyAlignment="1">
      <alignment horizontal="left" vertical="center" wrapText="1"/>
    </xf>
    <xf numFmtId="49" fontId="11" fillId="0" borderId="1" xfId="1" quotePrefix="1" applyNumberFormat="1" applyFont="1" applyFill="1" applyBorder="1" applyAlignment="1">
      <alignment horizontal="center" vertical="center" wrapText="1"/>
    </xf>
    <xf numFmtId="3" fontId="11" fillId="0" borderId="1" xfId="1" applyNumberFormat="1" applyFont="1" applyFill="1" applyBorder="1" applyAlignment="1">
      <alignment horizontal="left" vertical="center" wrapText="1"/>
    </xf>
    <xf numFmtId="172" fontId="11" fillId="0" borderId="1" xfId="32" applyNumberFormat="1" applyFont="1" applyFill="1" applyBorder="1" applyAlignment="1">
      <alignment horizontal="center" vertical="center" wrapText="1"/>
    </xf>
    <xf numFmtId="176" fontId="11" fillId="0" borderId="1" xfId="32" applyNumberFormat="1" applyFont="1" applyFill="1" applyBorder="1" applyAlignment="1">
      <alignment horizontal="center" vertical="center" wrapText="1"/>
    </xf>
    <xf numFmtId="0" fontId="11" fillId="0" borderId="1" xfId="31" applyFont="1" applyFill="1" applyBorder="1" applyAlignment="1">
      <alignment horizontal="center" vertical="center" wrapText="1"/>
    </xf>
    <xf numFmtId="0" fontId="11" fillId="0" borderId="1" xfId="33" quotePrefix="1" applyFont="1" applyFill="1" applyBorder="1" applyAlignment="1">
      <alignment horizontal="center" vertical="center" wrapText="1"/>
    </xf>
    <xf numFmtId="0" fontId="11" fillId="0" borderId="1" xfId="33" applyFont="1" applyFill="1" applyBorder="1" applyAlignment="1">
      <alignment horizontal="left" vertical="center" wrapText="1"/>
    </xf>
    <xf numFmtId="172" fontId="11" fillId="0" borderId="1" xfId="32" applyNumberFormat="1" applyFont="1" applyFill="1" applyBorder="1" applyAlignment="1">
      <alignment horizontal="right" vertical="center" wrapText="1"/>
    </xf>
    <xf numFmtId="176" fontId="11" fillId="0" borderId="1" xfId="32" applyNumberFormat="1" applyFont="1" applyFill="1" applyBorder="1" applyAlignment="1">
      <alignment horizontal="right" vertical="center" wrapText="1"/>
    </xf>
    <xf numFmtId="0" fontId="8" fillId="0" borderId="1" xfId="33" quotePrefix="1" applyFont="1" applyFill="1" applyBorder="1" applyAlignment="1">
      <alignment horizontal="center" vertical="center" wrapText="1"/>
    </xf>
    <xf numFmtId="0" fontId="8" fillId="0" borderId="1" xfId="33" applyFont="1" applyFill="1" applyBorder="1" applyAlignment="1">
      <alignment vertical="center" wrapText="1"/>
    </xf>
    <xf numFmtId="175" fontId="8" fillId="0" borderId="1" xfId="50" applyNumberFormat="1" applyFont="1" applyFill="1" applyBorder="1" applyAlignment="1">
      <alignment horizontal="left" vertical="center" wrapText="1"/>
    </xf>
    <xf numFmtId="175" fontId="8" fillId="0" borderId="1" xfId="50" applyNumberFormat="1" applyFont="1" applyFill="1" applyBorder="1" applyAlignment="1">
      <alignment horizontal="center" vertical="center" wrapText="1"/>
    </xf>
    <xf numFmtId="0" fontId="8" fillId="0" borderId="1" xfId="33" applyFont="1" applyFill="1" applyBorder="1" applyAlignment="1">
      <alignment horizontal="left" vertical="center" wrapText="1"/>
    </xf>
    <xf numFmtId="165" fontId="8" fillId="0" borderId="1" xfId="1" applyNumberFormat="1" applyFont="1" applyFill="1" applyBorder="1" applyAlignment="1">
      <alignment horizontal="center" vertical="center" wrapText="1"/>
    </xf>
    <xf numFmtId="172" fontId="11" fillId="0" borderId="1" xfId="32" quotePrefix="1" applyNumberFormat="1" applyFont="1" applyFill="1" applyBorder="1" applyAlignment="1">
      <alignment horizontal="center" vertical="center" wrapText="1"/>
    </xf>
    <xf numFmtId="176" fontId="11" fillId="0" borderId="1" xfId="32" quotePrefix="1" applyNumberFormat="1" applyFont="1" applyFill="1" applyBorder="1" applyAlignment="1">
      <alignment horizontal="center" vertical="center" wrapText="1"/>
    </xf>
    <xf numFmtId="169" fontId="11" fillId="0" borderId="1" xfId="37" quotePrefix="1" applyNumberFormat="1" applyFont="1" applyFill="1" applyBorder="1" applyAlignment="1">
      <alignment horizontal="center" vertical="center" wrapText="1"/>
    </xf>
    <xf numFmtId="0" fontId="8" fillId="0" borderId="1" xfId="38" applyFont="1" applyFill="1" applyBorder="1" applyAlignment="1">
      <alignment horizontal="center" vertical="center"/>
    </xf>
    <xf numFmtId="49" fontId="8" fillId="0" borderId="1" xfId="17" applyNumberFormat="1" applyFont="1" applyFill="1" applyBorder="1" applyAlignment="1">
      <alignment horizontal="left" vertical="center" wrapText="1"/>
    </xf>
    <xf numFmtId="3" fontId="8" fillId="0" borderId="1" xfId="31" quotePrefix="1" applyNumberFormat="1" applyFont="1" applyFill="1" applyBorder="1" applyAlignment="1">
      <alignment horizontal="center" vertical="center" wrapText="1"/>
    </xf>
    <xf numFmtId="172" fontId="8" fillId="0" borderId="1" xfId="32" applyNumberFormat="1" applyFont="1" applyFill="1" applyBorder="1" applyAlignment="1">
      <alignment horizontal="center" vertical="center"/>
    </xf>
    <xf numFmtId="176" fontId="8" fillId="0" borderId="1" xfId="32" applyNumberFormat="1" applyFont="1" applyFill="1" applyBorder="1" applyAlignment="1">
      <alignment horizontal="center" vertical="center"/>
    </xf>
    <xf numFmtId="172" fontId="8" fillId="0" borderId="1" xfId="32" applyNumberFormat="1" applyFont="1" applyFill="1" applyBorder="1" applyAlignment="1">
      <alignment horizontal="center" vertical="center" wrapText="1"/>
    </xf>
    <xf numFmtId="0" fontId="11" fillId="0" borderId="1" xfId="1" quotePrefix="1" applyFont="1" applyFill="1" applyBorder="1" applyAlignment="1">
      <alignment horizontal="center" vertical="center"/>
    </xf>
    <xf numFmtId="49" fontId="11" fillId="0" borderId="1" xfId="17" applyNumberFormat="1" applyFont="1" applyFill="1" applyBorder="1" applyAlignment="1">
      <alignment horizontal="left" vertical="center" wrapText="1"/>
    </xf>
    <xf numFmtId="169" fontId="11" fillId="0" borderId="1" xfId="37" applyNumberFormat="1" applyFont="1" applyFill="1" applyBorder="1" applyAlignment="1">
      <alignment horizontal="center" vertical="center" wrapText="1"/>
    </xf>
    <xf numFmtId="49" fontId="8" fillId="0" borderId="1" xfId="1" quotePrefix="1" applyNumberFormat="1" applyFont="1" applyFill="1" applyBorder="1" applyAlignment="1">
      <alignment horizontal="center" vertical="center" wrapText="1"/>
    </xf>
    <xf numFmtId="0" fontId="8" fillId="0" borderId="1" xfId="31" applyFont="1" applyFill="1" applyBorder="1" applyAlignment="1">
      <alignment horizontal="left" vertical="center" wrapText="1"/>
    </xf>
    <xf numFmtId="3" fontId="8" fillId="0" borderId="1" xfId="1" applyNumberFormat="1" applyFont="1" applyFill="1" applyBorder="1" applyAlignment="1">
      <alignment horizontal="left" vertical="center" wrapText="1"/>
    </xf>
    <xf numFmtId="3" fontId="8" fillId="0" borderId="1" xfId="1" applyNumberFormat="1" applyFont="1" applyFill="1" applyBorder="1" applyAlignment="1">
      <alignment horizontal="center" vertical="center" wrapText="1"/>
    </xf>
    <xf numFmtId="0" fontId="8" fillId="0" borderId="1" xfId="1" quotePrefix="1" applyFont="1" applyFill="1" applyBorder="1" applyAlignment="1">
      <alignment horizontal="center" vertical="center"/>
    </xf>
    <xf numFmtId="3" fontId="8" fillId="0" borderId="1" xfId="1" applyNumberFormat="1" applyFont="1" applyFill="1" applyBorder="1" applyAlignment="1">
      <alignment vertical="center" wrapText="1"/>
    </xf>
    <xf numFmtId="176" fontId="8" fillId="0" borderId="1" xfId="32" applyNumberFormat="1" applyFont="1" applyFill="1" applyBorder="1" applyAlignment="1">
      <alignment horizontal="center" vertical="center" wrapText="1"/>
    </xf>
    <xf numFmtId="169" fontId="8" fillId="0" borderId="1" xfId="37" applyNumberFormat="1" applyFont="1" applyFill="1" applyBorder="1" applyAlignment="1">
      <alignment vertical="center" wrapText="1"/>
    </xf>
    <xf numFmtId="172" fontId="8" fillId="0" borderId="1" xfId="32" quotePrefix="1" applyNumberFormat="1" applyFont="1" applyFill="1" applyBorder="1" applyAlignment="1">
      <alignment horizontal="center" vertical="center" wrapText="1"/>
    </xf>
    <xf numFmtId="176" fontId="8" fillId="0" borderId="1" xfId="32" quotePrefix="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xf>
    <xf numFmtId="1" fontId="11" fillId="0" borderId="1" xfId="1" applyNumberFormat="1" applyFont="1" applyFill="1" applyBorder="1" applyAlignment="1">
      <alignment vertical="center"/>
    </xf>
    <xf numFmtId="166" fontId="8" fillId="0" borderId="1" xfId="32" quotePrefix="1" applyFont="1" applyFill="1" applyBorder="1" applyAlignment="1">
      <alignment horizontal="center" vertical="center" wrapText="1"/>
    </xf>
    <xf numFmtId="0" fontId="8" fillId="0" borderId="1" xfId="38" applyFont="1" applyFill="1" applyBorder="1" applyAlignment="1">
      <alignment horizontal="left" vertical="center" wrapText="1"/>
    </xf>
    <xf numFmtId="0" fontId="8" fillId="0" borderId="1" xfId="38" applyFont="1" applyFill="1" applyBorder="1" applyAlignment="1">
      <alignment vertical="center" wrapText="1"/>
    </xf>
    <xf numFmtId="178" fontId="8" fillId="0" borderId="1" xfId="2" applyNumberFormat="1" applyFont="1" applyFill="1" applyBorder="1" applyAlignment="1">
      <alignment horizontal="center" vertical="center"/>
    </xf>
    <xf numFmtId="0" fontId="8" fillId="0" borderId="1" xfId="23" applyFont="1" applyFill="1" applyBorder="1" applyAlignment="1">
      <alignment horizontal="left" vertical="center" wrapText="1"/>
    </xf>
    <xf numFmtId="0" fontId="8" fillId="0" borderId="1" xfId="33" applyFont="1" applyFill="1" applyBorder="1" applyAlignment="1">
      <alignment horizontal="center" vertical="center"/>
    </xf>
    <xf numFmtId="172" fontId="8" fillId="0" borderId="1" xfId="32" applyNumberFormat="1" applyFont="1" applyFill="1" applyBorder="1" applyAlignment="1">
      <alignment horizontal="right" vertical="center" shrinkToFit="1"/>
    </xf>
    <xf numFmtId="176" fontId="8" fillId="0" borderId="1" xfId="32" applyNumberFormat="1" applyFont="1" applyFill="1" applyBorder="1" applyAlignment="1">
      <alignment horizontal="right" vertical="center" shrinkToFit="1"/>
    </xf>
    <xf numFmtId="0" fontId="13" fillId="0" borderId="1" xfId="33" applyFont="1" applyFill="1" applyBorder="1" applyAlignment="1">
      <alignment horizontal="center" vertical="center" wrapText="1"/>
    </xf>
    <xf numFmtId="1" fontId="11" fillId="0" borderId="1" xfId="1" applyNumberFormat="1" applyFont="1" applyFill="1" applyBorder="1" applyAlignment="1">
      <alignment horizontal="left" vertical="center"/>
    </xf>
    <xf numFmtId="0" fontId="8" fillId="0" borderId="1" xfId="39" quotePrefix="1" applyFont="1" applyFill="1" applyBorder="1" applyAlignment="1">
      <alignment horizontal="center" vertical="center"/>
    </xf>
    <xf numFmtId="0" fontId="8" fillId="0" borderId="1" xfId="39" applyFont="1" applyFill="1" applyBorder="1" applyAlignment="1">
      <alignment horizontal="left" vertical="center" wrapText="1"/>
    </xf>
    <xf numFmtId="0" fontId="13" fillId="0" borderId="1" xfId="31" applyFont="1" applyFill="1" applyBorder="1" applyAlignment="1">
      <alignment horizontal="center" vertical="center" wrapText="1"/>
    </xf>
    <xf numFmtId="0" fontId="8" fillId="0" borderId="1" xfId="40" applyFont="1" applyFill="1" applyBorder="1" applyAlignment="1">
      <alignment horizontal="left" vertical="center" wrapText="1"/>
    </xf>
    <xf numFmtId="1" fontId="8" fillId="0" borderId="1" xfId="1" applyNumberFormat="1" applyFont="1" applyFill="1" applyBorder="1" applyAlignment="1">
      <alignment horizontal="center" vertical="center"/>
    </xf>
    <xf numFmtId="14" fontId="8" fillId="0" borderId="1" xfId="33" applyNumberFormat="1" applyFont="1" applyFill="1" applyBorder="1" applyAlignment="1">
      <alignment horizontal="center" vertical="center" wrapText="1"/>
    </xf>
    <xf numFmtId="176" fontId="8" fillId="0" borderId="1" xfId="32" applyNumberFormat="1" applyFont="1" applyFill="1" applyBorder="1"/>
    <xf numFmtId="1" fontId="8" fillId="0" borderId="1" xfId="1" quotePrefix="1" applyNumberFormat="1" applyFont="1" applyFill="1" applyBorder="1" applyAlignment="1">
      <alignment horizontal="center" vertical="center" wrapText="1"/>
    </xf>
    <xf numFmtId="0" fontId="8" fillId="0" borderId="1" xfId="40" applyFont="1" applyFill="1" applyBorder="1" applyAlignment="1">
      <alignment horizontal="center" vertical="center" wrapText="1"/>
    </xf>
    <xf numFmtId="172" fontId="8" fillId="0" borderId="1" xfId="19" quotePrefix="1" applyNumberFormat="1" applyFont="1" applyFill="1" applyBorder="1" applyAlignment="1">
      <alignment horizontal="center" vertical="center" wrapText="1"/>
    </xf>
    <xf numFmtId="169" fontId="8" fillId="0" borderId="1" xfId="37" applyNumberFormat="1" applyFont="1" applyFill="1" applyBorder="1" applyAlignment="1">
      <alignment horizontal="center" vertical="center" wrapText="1"/>
    </xf>
    <xf numFmtId="0" fontId="11" fillId="0" borderId="1" xfId="40" applyFont="1" applyFill="1" applyBorder="1" applyAlignment="1">
      <alignment horizontal="center" vertical="center" wrapText="1"/>
    </xf>
    <xf numFmtId="0" fontId="11" fillId="0" borderId="1" xfId="40" applyFont="1" applyFill="1" applyBorder="1" applyAlignment="1">
      <alignment horizontal="left" vertical="center" wrapText="1"/>
    </xf>
    <xf numFmtId="49" fontId="8" fillId="0" borderId="1" xfId="1" applyNumberFormat="1" applyFont="1" applyFill="1" applyBorder="1" applyAlignment="1">
      <alignment horizontal="center" vertical="center" wrapText="1"/>
    </xf>
    <xf numFmtId="0" fontId="8" fillId="0" borderId="1" xfId="41" applyFont="1" applyFill="1" applyBorder="1" applyAlignment="1">
      <alignment vertical="center" wrapText="1"/>
    </xf>
    <xf numFmtId="1" fontId="8" fillId="0" borderId="1" xfId="45" applyNumberFormat="1" applyFont="1" applyFill="1" applyBorder="1" applyAlignment="1">
      <alignment horizontal="center" vertical="center"/>
    </xf>
    <xf numFmtId="49" fontId="8" fillId="0" borderId="1" xfId="38" applyNumberFormat="1" applyFont="1" applyFill="1" applyBorder="1" applyAlignment="1">
      <alignment horizontal="left" vertical="center" wrapText="1"/>
    </xf>
    <xf numFmtId="0" fontId="8" fillId="0" borderId="1" xfId="42" applyFont="1" applyFill="1" applyBorder="1" applyAlignment="1">
      <alignment horizontal="left" vertical="center" wrapText="1"/>
    </xf>
    <xf numFmtId="49" fontId="8" fillId="0" borderId="1" xfId="1" applyNumberFormat="1" applyFont="1" applyFill="1" applyBorder="1" applyAlignment="1">
      <alignment horizontal="center" vertical="center"/>
    </xf>
    <xf numFmtId="1" fontId="8" fillId="0" borderId="1" xfId="44" applyNumberFormat="1" applyFont="1" applyFill="1" applyBorder="1" applyAlignment="1">
      <alignment vertical="center" wrapText="1"/>
    </xf>
    <xf numFmtId="164" fontId="8" fillId="0" borderId="1" xfId="2" applyFont="1" applyFill="1" applyBorder="1" applyAlignment="1">
      <alignment horizontal="right" vertical="center"/>
    </xf>
    <xf numFmtId="172" fontId="8" fillId="0" borderId="0" xfId="31" applyNumberFormat="1" applyFont="1" applyFill="1" applyAlignment="1">
      <alignment horizontal="center" vertical="center" wrapText="1"/>
    </xf>
    <xf numFmtId="0" fontId="8" fillId="0" borderId="0" xfId="31" applyFont="1" applyFill="1" applyAlignment="1">
      <alignment horizontal="center" vertical="center" wrapText="1"/>
    </xf>
    <xf numFmtId="3" fontId="8" fillId="0" borderId="1" xfId="12" applyNumberFormat="1" applyFont="1" applyFill="1" applyBorder="1" applyAlignment="1">
      <alignment horizontal="center" vertical="center" wrapText="1"/>
    </xf>
    <xf numFmtId="169" fontId="8" fillId="0" borderId="1" xfId="55" quotePrefix="1" applyNumberFormat="1" applyFont="1" applyFill="1" applyBorder="1" applyAlignment="1">
      <alignment horizontal="right" vertical="center" wrapText="1"/>
    </xf>
    <xf numFmtId="1" fontId="13" fillId="0" borderId="1" xfId="1" applyNumberFormat="1" applyFont="1" applyFill="1" applyBorder="1" applyAlignment="1">
      <alignment horizontal="center" vertical="center" wrapText="1"/>
    </xf>
    <xf numFmtId="0" fontId="11" fillId="0" borderId="0" xfId="0" applyFont="1" applyFill="1" applyAlignment="1">
      <alignment horizont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40" fillId="0" borderId="0" xfId="0" applyFont="1" applyFill="1" applyAlignment="1">
      <alignment horizontal="center"/>
    </xf>
    <xf numFmtId="0" fontId="40" fillId="0" borderId="0" xfId="0" applyFont="1" applyFill="1" applyAlignment="1">
      <alignment horizontal="right"/>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3" fontId="4" fillId="0" borderId="13" xfId="1"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7" fillId="0" borderId="0" xfId="0" applyFont="1" applyFill="1" applyAlignment="1">
      <alignment horizontal="center"/>
    </xf>
    <xf numFmtId="0" fontId="5" fillId="0" borderId="0" xfId="0" applyFont="1" applyFill="1" applyAlignment="1">
      <alignment horizontal="center"/>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5" fillId="0" borderId="0" xfId="0" applyFont="1" applyFill="1" applyAlignment="1">
      <alignment horizontal="right"/>
    </xf>
    <xf numFmtId="3" fontId="4" fillId="0" borderId="1" xfId="1" applyNumberFormat="1" applyFont="1" applyFill="1" applyBorder="1" applyAlignment="1">
      <alignment horizontal="center" vertical="center"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6" xfId="1" applyNumberFormat="1" applyFont="1" applyFill="1" applyBorder="1" applyAlignment="1">
      <alignment horizontal="center" vertical="center" wrapText="1"/>
    </xf>
    <xf numFmtId="3" fontId="4" fillId="0" borderId="7" xfId="1" applyNumberFormat="1" applyFont="1" applyFill="1" applyBorder="1" applyAlignment="1">
      <alignment horizontal="center" vertical="center" wrapText="1"/>
    </xf>
    <xf numFmtId="3" fontId="4" fillId="0" borderId="15" xfId="1" applyNumberFormat="1"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3" fontId="4" fillId="0" borderId="9" xfId="1" applyNumberFormat="1" applyFont="1" applyFill="1" applyBorder="1" applyAlignment="1">
      <alignment horizontal="center" vertical="center" wrapText="1"/>
    </xf>
    <xf numFmtId="0" fontId="11" fillId="0" borderId="0" xfId="31" applyFont="1" applyFill="1" applyAlignment="1">
      <alignment horizontal="center" vertical="center"/>
    </xf>
    <xf numFmtId="1" fontId="11" fillId="0" borderId="0" xfId="1" applyNumberFormat="1" applyFont="1" applyFill="1" applyAlignment="1">
      <alignment horizontal="center" vertical="center" wrapText="1"/>
    </xf>
    <xf numFmtId="1" fontId="40" fillId="0" borderId="0" xfId="1" applyNumberFormat="1" applyFont="1" applyFill="1" applyAlignment="1">
      <alignment horizontal="center" vertical="center" wrapText="1"/>
    </xf>
    <xf numFmtId="3" fontId="8" fillId="0" borderId="1" xfId="1" applyNumberFormat="1" applyFont="1" applyFill="1" applyBorder="1" applyAlignment="1">
      <alignment horizontal="center" vertical="center" wrapText="1"/>
    </xf>
    <xf numFmtId="3" fontId="8" fillId="0" borderId="4" xfId="1" applyNumberFormat="1" applyFont="1" applyFill="1" applyBorder="1" applyAlignment="1">
      <alignment horizontal="center" vertical="center" wrapText="1"/>
    </xf>
    <xf numFmtId="3" fontId="8" fillId="0" borderId="8" xfId="1" applyNumberFormat="1" applyFont="1" applyFill="1" applyBorder="1" applyAlignment="1">
      <alignment horizontal="center" vertical="center" wrapText="1"/>
    </xf>
    <xf numFmtId="3" fontId="8" fillId="0" borderId="13" xfId="1" applyNumberFormat="1" applyFont="1" applyFill="1" applyBorder="1" applyAlignment="1">
      <alignment horizontal="center" vertical="center" wrapText="1"/>
    </xf>
    <xf numFmtId="1" fontId="16" fillId="0" borderId="0" xfId="1" applyNumberFormat="1" applyFont="1" applyFill="1" applyAlignment="1">
      <alignment horizontal="center" vertical="center"/>
    </xf>
    <xf numFmtId="1" fontId="16" fillId="0" borderId="0" xfId="1" applyNumberFormat="1" applyFont="1" applyFill="1" applyAlignment="1">
      <alignment horizontal="center" vertical="center" wrapText="1"/>
    </xf>
    <xf numFmtId="1" fontId="38" fillId="0" borderId="0" xfId="1" applyNumberFormat="1" applyFont="1" applyFill="1" applyAlignment="1">
      <alignment horizontal="center" vertical="center" wrapText="1"/>
    </xf>
    <xf numFmtId="1" fontId="38" fillId="0" borderId="9" xfId="1" applyNumberFormat="1" applyFont="1" applyFill="1" applyBorder="1" applyAlignment="1">
      <alignment horizontal="right" vertical="center"/>
    </xf>
    <xf numFmtId="49" fontId="19" fillId="0" borderId="1"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3" fontId="19" fillId="0" borderId="2" xfId="1" applyNumberFormat="1" applyFont="1" applyFill="1" applyBorder="1" applyAlignment="1">
      <alignment horizontal="center" vertical="center" wrapText="1"/>
    </xf>
    <xf numFmtId="3" fontId="19" fillId="0" borderId="5" xfId="1" applyNumberFormat="1" applyFont="1" applyFill="1" applyBorder="1" applyAlignment="1">
      <alignment horizontal="center" vertical="center" wrapText="1"/>
    </xf>
    <xf numFmtId="3" fontId="19" fillId="0" borderId="3" xfId="1" applyNumberFormat="1" applyFont="1" applyFill="1" applyBorder="1" applyAlignment="1">
      <alignment horizontal="center" vertical="center" wrapText="1"/>
    </xf>
    <xf numFmtId="3" fontId="19" fillId="0" borderId="6" xfId="1" applyNumberFormat="1" applyFont="1" applyFill="1" applyBorder="1" applyAlignment="1">
      <alignment horizontal="center" vertical="center" wrapText="1"/>
    </xf>
    <xf numFmtId="3" fontId="19" fillId="0" borderId="9" xfId="1" applyNumberFormat="1" applyFont="1" applyFill="1" applyBorder="1" applyAlignment="1">
      <alignment horizontal="center" vertical="center" wrapText="1"/>
    </xf>
    <xf numFmtId="3" fontId="19" fillId="0" borderId="7" xfId="1" applyNumberFormat="1" applyFont="1" applyFill="1" applyBorder="1" applyAlignment="1">
      <alignment horizontal="center" vertical="center" wrapText="1"/>
    </xf>
    <xf numFmtId="3" fontId="19" fillId="0" borderId="10" xfId="1" applyNumberFormat="1" applyFont="1" applyFill="1" applyBorder="1" applyAlignment="1">
      <alignment horizontal="center" vertical="center" wrapText="1"/>
    </xf>
    <xf numFmtId="3" fontId="19" fillId="0" borderId="12" xfId="1" applyNumberFormat="1" applyFont="1" applyFill="1" applyBorder="1" applyAlignment="1">
      <alignment horizontal="center" vertical="center" wrapText="1"/>
    </xf>
    <xf numFmtId="3" fontId="19" fillId="0" borderId="4" xfId="1" applyNumberFormat="1" applyFont="1" applyFill="1" applyBorder="1" applyAlignment="1">
      <alignment horizontal="center" vertical="center" wrapText="1"/>
    </xf>
    <xf numFmtId="3" fontId="19" fillId="0" borderId="8" xfId="1" applyNumberFormat="1" applyFont="1" applyFill="1" applyBorder="1" applyAlignment="1">
      <alignment horizontal="center" vertical="center" wrapText="1"/>
    </xf>
    <xf numFmtId="3" fontId="19" fillId="0" borderId="13" xfId="1" applyNumberFormat="1" applyFont="1" applyFill="1" applyBorder="1" applyAlignment="1">
      <alignment horizontal="center" vertical="center" wrapText="1"/>
    </xf>
    <xf numFmtId="0" fontId="39" fillId="0" borderId="1" xfId="22" applyFont="1" applyFill="1" applyBorder="1" applyAlignment="1">
      <alignment horizontal="center" vertical="center" wrapText="1"/>
    </xf>
    <xf numFmtId="3" fontId="19" fillId="0" borderId="11" xfId="1" applyNumberFormat="1" applyFont="1" applyFill="1" applyBorder="1" applyAlignment="1">
      <alignment horizontal="center" vertical="center" wrapText="1"/>
    </xf>
    <xf numFmtId="3" fontId="19" fillId="0" borderId="15" xfId="1" applyNumberFormat="1" applyFont="1" applyFill="1" applyBorder="1" applyAlignment="1">
      <alignment horizontal="center" vertical="center" wrapText="1"/>
    </xf>
    <xf numFmtId="3" fontId="19" fillId="0" borderId="14" xfId="1" applyNumberFormat="1" applyFont="1" applyFill="1" applyBorder="1" applyAlignment="1">
      <alignment horizontal="center" vertical="center" wrapText="1"/>
    </xf>
    <xf numFmtId="1" fontId="19" fillId="0" borderId="0" xfId="1" applyNumberFormat="1" applyFont="1" applyFill="1" applyAlignment="1">
      <alignment horizontal="left" vertical="center" wrapText="1"/>
    </xf>
    <xf numFmtId="3" fontId="38" fillId="0" borderId="4" xfId="1" applyNumberFormat="1" applyFont="1" applyFill="1" applyBorder="1" applyAlignment="1">
      <alignment horizontal="center" vertical="center" wrapText="1"/>
    </xf>
    <xf numFmtId="3" fontId="38" fillId="0" borderId="8" xfId="1" applyNumberFormat="1" applyFont="1" applyFill="1" applyBorder="1" applyAlignment="1">
      <alignment horizontal="center" vertical="center" wrapText="1"/>
    </xf>
    <xf numFmtId="3" fontId="38" fillId="0" borderId="13" xfId="1" applyNumberFormat="1" applyFont="1" applyFill="1" applyBorder="1" applyAlignment="1">
      <alignment horizontal="center" vertical="center" wrapText="1"/>
    </xf>
    <xf numFmtId="3" fontId="38" fillId="0" borderId="2" xfId="1" applyNumberFormat="1" applyFont="1" applyFill="1" applyBorder="1" applyAlignment="1">
      <alignment horizontal="center" vertical="center" wrapText="1"/>
    </xf>
    <xf numFmtId="3" fontId="38" fillId="0" borderId="5" xfId="1" applyNumberFormat="1" applyFont="1" applyFill="1" applyBorder="1" applyAlignment="1">
      <alignment horizontal="center" vertical="center" wrapText="1"/>
    </xf>
    <xf numFmtId="3" fontId="38" fillId="0" borderId="3" xfId="1" applyNumberFormat="1" applyFont="1" applyFill="1" applyBorder="1" applyAlignment="1">
      <alignment horizontal="center" vertical="center" wrapText="1"/>
    </xf>
    <xf numFmtId="3" fontId="38" fillId="0" borderId="6" xfId="1" applyNumberFormat="1" applyFont="1" applyFill="1" applyBorder="1" applyAlignment="1">
      <alignment horizontal="center" vertical="center" wrapText="1"/>
    </xf>
    <xf numFmtId="3" fontId="38" fillId="0" borderId="9" xfId="1" applyNumberFormat="1" applyFont="1" applyFill="1" applyBorder="1" applyAlignment="1">
      <alignment horizontal="center" vertical="center" wrapText="1"/>
    </xf>
    <xf numFmtId="3" fontId="38" fillId="0" borderId="7" xfId="1" applyNumberFormat="1" applyFont="1" applyFill="1" applyBorder="1" applyAlignment="1">
      <alignment horizontal="center" vertical="center" wrapText="1"/>
    </xf>
    <xf numFmtId="3" fontId="38" fillId="0" borderId="1" xfId="1" applyNumberFormat="1" applyFont="1" applyFill="1" applyBorder="1" applyAlignment="1">
      <alignment horizontal="center" vertical="center" wrapText="1"/>
    </xf>
    <xf numFmtId="0" fontId="17" fillId="0" borderId="0" xfId="33" applyFont="1" applyFill="1" applyAlignment="1">
      <alignment horizontal="center" vertical="center"/>
    </xf>
    <xf numFmtId="0" fontId="17" fillId="0" borderId="0" xfId="33" applyFont="1" applyFill="1" applyAlignment="1">
      <alignment horizontal="center" vertical="top" wrapText="1"/>
    </xf>
    <xf numFmtId="1" fontId="5" fillId="0" borderId="0" xfId="33" applyNumberFormat="1" applyFont="1" applyFill="1" applyAlignment="1">
      <alignment horizontal="center" vertical="top"/>
    </xf>
    <xf numFmtId="0" fontId="5" fillId="0" borderId="0" xfId="33" applyFont="1" applyFill="1" applyAlignment="1">
      <alignment horizontal="center" vertical="top"/>
    </xf>
    <xf numFmtId="0" fontId="5" fillId="0" borderId="0" xfId="33" applyFont="1" applyFill="1" applyAlignment="1">
      <alignment horizontal="right" vertical="top"/>
    </xf>
    <xf numFmtId="0" fontId="17" fillId="0" borderId="1" xfId="33" applyFont="1" applyFill="1" applyBorder="1" applyAlignment="1">
      <alignment horizontal="center" vertical="center" wrapText="1"/>
    </xf>
    <xf numFmtId="0" fontId="4" fillId="0" borderId="0" xfId="33" applyFont="1" applyFill="1" applyAlignment="1">
      <alignment horizontal="center" vertical="center" wrapText="1"/>
    </xf>
    <xf numFmtId="3" fontId="4" fillId="3" borderId="4" xfId="1" applyNumberFormat="1" applyFont="1" applyFill="1" applyBorder="1" applyAlignment="1">
      <alignment horizontal="center" vertical="center" wrapText="1"/>
    </xf>
    <xf numFmtId="3" fontId="4" fillId="3" borderId="8" xfId="1" applyNumberFormat="1" applyFont="1" applyFill="1" applyBorder="1" applyAlignment="1">
      <alignment horizontal="center" vertical="center" wrapText="1"/>
    </xf>
    <xf numFmtId="3" fontId="4" fillId="3" borderId="13" xfId="1" applyNumberFormat="1" applyFont="1" applyFill="1" applyBorder="1" applyAlignment="1">
      <alignment horizontal="center" vertical="center" wrapText="1"/>
    </xf>
    <xf numFmtId="3" fontId="4" fillId="4" borderId="4"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3" fontId="4" fillId="4" borderId="13" xfId="1" applyNumberFormat="1" applyFont="1" applyFill="1" applyBorder="1" applyAlignment="1">
      <alignment horizontal="center" vertical="center" wrapText="1"/>
    </xf>
    <xf numFmtId="3" fontId="4" fillId="0" borderId="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3" fontId="4" fillId="0" borderId="13" xfId="1" applyNumberFormat="1" applyFont="1" applyBorder="1" applyAlignment="1">
      <alignment horizontal="center" vertical="center" wrapText="1"/>
    </xf>
    <xf numFmtId="3" fontId="4" fillId="0" borderId="10" xfId="1" applyNumberFormat="1" applyFont="1" applyBorder="1" applyAlignment="1">
      <alignment horizontal="center" vertical="center" wrapText="1"/>
    </xf>
    <xf numFmtId="3" fontId="4" fillId="0" borderId="12" xfId="1" applyNumberFormat="1" applyFont="1" applyBorder="1" applyAlignment="1">
      <alignment horizontal="center" vertical="center" wrapText="1"/>
    </xf>
    <xf numFmtId="3" fontId="4" fillId="0" borderId="11" xfId="1" applyNumberFormat="1" applyFont="1" applyBorder="1" applyAlignment="1">
      <alignment horizontal="center" vertical="center" wrapText="1"/>
    </xf>
    <xf numFmtId="3" fontId="4" fillId="0" borderId="1"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3" fontId="5" fillId="0" borderId="8" xfId="1" applyNumberFormat="1" applyFont="1" applyBorder="1" applyAlignment="1">
      <alignment horizontal="center" vertical="center" wrapText="1"/>
    </xf>
    <xf numFmtId="3" fontId="5" fillId="0" borderId="13" xfId="1" applyNumberFormat="1"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right"/>
    </xf>
    <xf numFmtId="3" fontId="4" fillId="0" borderId="2" xfId="1" applyNumberFormat="1" applyFont="1" applyBorder="1" applyAlignment="1">
      <alignment horizontal="center" vertical="center" wrapText="1"/>
    </xf>
    <xf numFmtId="3" fontId="4" fillId="0" borderId="3" xfId="1" applyNumberFormat="1" applyFont="1" applyBorder="1" applyAlignment="1">
      <alignment horizontal="center" vertical="center" wrapText="1"/>
    </xf>
    <xf numFmtId="3" fontId="4" fillId="0" borderId="6" xfId="1" applyNumberFormat="1" applyFont="1" applyBorder="1" applyAlignment="1">
      <alignment horizontal="center" vertical="center" wrapText="1"/>
    </xf>
    <xf numFmtId="3" fontId="4" fillId="0" borderId="7" xfId="1" applyNumberFormat="1" applyFont="1" applyBorder="1" applyAlignment="1">
      <alignment horizontal="center" vertical="center" wrapText="1"/>
    </xf>
    <xf numFmtId="3" fontId="4" fillId="0" borderId="5" xfId="1" applyNumberFormat="1" applyFont="1" applyBorder="1" applyAlignment="1">
      <alignment horizontal="center" vertical="center" wrapText="1"/>
    </xf>
    <xf numFmtId="3" fontId="4" fillId="0" borderId="9" xfId="1" applyNumberFormat="1"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3" fontId="8" fillId="0" borderId="1" xfId="1" applyNumberFormat="1" applyFont="1" applyBorder="1" applyAlignment="1">
      <alignment horizontal="center" vertical="center" wrapText="1"/>
    </xf>
    <xf numFmtId="3" fontId="8" fillId="0" borderId="10" xfId="1" applyNumberFormat="1" applyFont="1" applyBorder="1" applyAlignment="1">
      <alignment horizontal="center" vertical="center" wrapText="1"/>
    </xf>
    <xf numFmtId="3" fontId="8" fillId="0" borderId="11" xfId="1" applyNumberFormat="1" applyFont="1" applyBorder="1" applyAlignment="1">
      <alignment horizontal="center" vertical="center" wrapText="1"/>
    </xf>
    <xf numFmtId="3" fontId="8" fillId="0" borderId="12" xfId="1" applyNumberFormat="1" applyFont="1" applyBorder="1" applyAlignment="1">
      <alignment horizontal="center" vertical="center" wrapText="1"/>
    </xf>
    <xf numFmtId="3" fontId="8" fillId="0" borderId="4" xfId="1" applyNumberFormat="1" applyFont="1" applyBorder="1" applyAlignment="1">
      <alignment horizontal="center" vertical="center" wrapText="1"/>
    </xf>
    <xf numFmtId="3" fontId="8" fillId="0" borderId="8" xfId="1" applyNumberFormat="1" applyFont="1" applyBorder="1" applyAlignment="1">
      <alignment horizontal="center" vertical="center" wrapText="1"/>
    </xf>
    <xf numFmtId="3" fontId="8" fillId="0" borderId="13" xfId="1" applyNumberFormat="1" applyFont="1" applyBorder="1" applyAlignment="1">
      <alignment horizontal="center" vertical="center" wrapText="1"/>
    </xf>
    <xf numFmtId="3" fontId="8" fillId="0" borderId="2" xfId="1" applyNumberFormat="1" applyFont="1" applyBorder="1" applyAlignment="1">
      <alignment horizontal="center" vertical="center" wrapText="1"/>
    </xf>
    <xf numFmtId="3" fontId="8" fillId="0" borderId="5" xfId="1" applyNumberFormat="1" applyFont="1" applyBorder="1" applyAlignment="1">
      <alignment horizontal="center" vertical="center" wrapText="1"/>
    </xf>
    <xf numFmtId="3" fontId="8" fillId="0" borderId="3" xfId="1" applyNumberFormat="1" applyFont="1" applyBorder="1" applyAlignment="1">
      <alignment horizontal="center" vertical="center" wrapText="1"/>
    </xf>
    <xf numFmtId="3" fontId="8" fillId="0" borderId="6" xfId="1" applyNumberFormat="1" applyFont="1" applyBorder="1" applyAlignment="1">
      <alignment horizontal="center" vertical="center" wrapText="1"/>
    </xf>
    <xf numFmtId="3" fontId="8" fillId="0" borderId="9" xfId="1" applyNumberFormat="1" applyFont="1" applyBorder="1" applyAlignment="1">
      <alignment horizontal="center" vertical="center" wrapText="1"/>
    </xf>
    <xf numFmtId="3" fontId="8" fillId="0" borderId="7" xfId="1" applyNumberFormat="1"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xf>
  </cellXfs>
  <cellStyles count="56">
    <cellStyle name="_x000d_&#10;JournalTemplate=C:\COMFO\CTALK\JOURSTD.TPL_x000d_&#10;LbStateAddress=3 3 0 251 1 89 2 311_x000d_&#10;LbStateJou" xfId="23"/>
    <cellStyle name="_x000d_&#10;JournalTemplate=C:\COMFO\CTALK\JOURSTD.TPL_x000d_&#10;LbStateAddress=3 3 0 251 1 89 2 311_x000d_&#10;LbStateJou 2" xfId="13"/>
    <cellStyle name="Bình thường 2" xfId="51"/>
    <cellStyle name="Comma 10 10" xfId="4"/>
    <cellStyle name="Comma 13" xfId="16"/>
    <cellStyle name="Comma 2" xfId="8"/>
    <cellStyle name="Comma 2 2" xfId="50"/>
    <cellStyle name="Comma 2 2 2" xfId="52"/>
    <cellStyle name="Comma 2 2 2 2" xfId="19"/>
    <cellStyle name="Comma 2 2 3" xfId="28"/>
    <cellStyle name="Comma 2 3" xfId="10"/>
    <cellStyle name="Comma 2 3 2" xfId="54"/>
    <cellStyle name="Comma 2 4" xfId="25"/>
    <cellStyle name="Comma 3" xfId="32"/>
    <cellStyle name="Comma 4" xfId="29"/>
    <cellStyle name="Comma 5" xfId="7"/>
    <cellStyle name="Comma 6" xfId="37"/>
    <cellStyle name="Comma 6 2" xfId="55"/>
    <cellStyle name="Comma 8 2" xfId="3"/>
    <cellStyle name="Comma 9" xfId="24"/>
    <cellStyle name="Chuẩn" xfId="0" builtinId="0"/>
    <cellStyle name="Dấu phảy" xfId="2" builtinId="3"/>
    <cellStyle name="Normal 10" xfId="18"/>
    <cellStyle name="Normal 11" xfId="15"/>
    <cellStyle name="Normal 11 2" xfId="35"/>
    <cellStyle name="Normal 19" xfId="44"/>
    <cellStyle name="Normal 2" xfId="14"/>
    <cellStyle name="Normal 2 10" xfId="20"/>
    <cellStyle name="Normal 2 2" xfId="6"/>
    <cellStyle name="Normal 2 2 2" xfId="22"/>
    <cellStyle name="Normal 2 2 2 2" xfId="49"/>
    <cellStyle name="Normal 2 2 3" xfId="38"/>
    <cellStyle name="Normal 2 3" xfId="33"/>
    <cellStyle name="Normal 2 3 2" xfId="53"/>
    <cellStyle name="Normal 2_Báo cáo thanh toán tháng 6 năm 2024" xfId="48"/>
    <cellStyle name="Normal 22 2 2" xfId="9"/>
    <cellStyle name="Normal 22 2 2 2" xfId="41"/>
    <cellStyle name="Normal 3" xfId="27"/>
    <cellStyle name="Normal 3 2" xfId="21"/>
    <cellStyle name="Normal 3 2 2 2" xfId="40"/>
    <cellStyle name="Normal 3 3" xfId="43"/>
    <cellStyle name="Normal 4" xfId="31"/>
    <cellStyle name="Normal 4 2" xfId="12"/>
    <cellStyle name="Normal 4 2 2" xfId="34"/>
    <cellStyle name="Normal 5" xfId="30"/>
    <cellStyle name="Normal 53" xfId="11"/>
    <cellStyle name="Normal 7 2" xfId="17"/>
    <cellStyle name="Normal 9" xfId="26"/>
    <cellStyle name="Normal 9 2" xfId="39"/>
    <cellStyle name="Normal_Bang dự toán cấp 0" xfId="47"/>
    <cellStyle name="Normal_Bieu mau (CV )" xfId="1"/>
    <cellStyle name="Normal_Bieu mau (CV ) 2" xfId="5"/>
    <cellStyle name="Normal_Book2_Biểu cân đối nguồn vốn 79 (thang 10 nam 2014)" xfId="36"/>
    <cellStyle name="Normal_Sheet2" xfId="45"/>
    <cellStyle name="Style 1" xfId="46"/>
    <cellStyle name="Style 1 2 2" xfId="42"/>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O22"/>
  <sheetViews>
    <sheetView view="pageBreakPreview" zoomScale="85" zoomScaleNormal="60" zoomScaleSheetLayoutView="85" workbookViewId="0">
      <selection activeCell="A4" sqref="A4:M4"/>
    </sheetView>
  </sheetViews>
  <sheetFormatPr defaultRowHeight="14.25"/>
  <cols>
    <col min="1" max="1" width="9.1328125" style="252"/>
    <col min="2" max="2" width="39.59765625" style="252" customWidth="1"/>
    <col min="3" max="3" width="21.1328125" style="252" customWidth="1"/>
    <col min="4" max="4" width="13.3984375" style="252" customWidth="1"/>
    <col min="5" max="11" width="14.1328125" style="252" customWidth="1"/>
    <col min="12" max="12" width="20.73046875" style="252" customWidth="1"/>
    <col min="13" max="13" width="17.1328125" style="252" customWidth="1"/>
    <col min="14" max="14" width="9.1328125" style="252"/>
    <col min="15" max="15" width="15.59765625" style="252" customWidth="1"/>
    <col min="16" max="242" width="9.1328125" style="252"/>
    <col min="243" max="243" width="39.59765625" style="252" customWidth="1"/>
    <col min="244" max="244" width="15.1328125" style="252" customWidth="1"/>
    <col min="245" max="253" width="14.1328125" style="252" customWidth="1"/>
    <col min="254" max="254" width="13.86328125" style="252" customWidth="1"/>
    <col min="255" max="260" width="14.1328125" style="252" customWidth="1"/>
    <col min="261" max="261" width="15" style="252" customWidth="1"/>
    <col min="262" max="262" width="9.1328125" style="252"/>
    <col min="263" max="263" width="12" style="252" bestFit="1" customWidth="1"/>
    <col min="264" max="498" width="9.1328125" style="252"/>
    <col min="499" max="499" width="39.59765625" style="252" customWidth="1"/>
    <col min="500" max="500" width="15.1328125" style="252" customWidth="1"/>
    <col min="501" max="509" width="14.1328125" style="252" customWidth="1"/>
    <col min="510" max="510" width="13.86328125" style="252" customWidth="1"/>
    <col min="511" max="516" width="14.1328125" style="252" customWidth="1"/>
    <col min="517" max="517" width="15" style="252" customWidth="1"/>
    <col min="518" max="518" width="9.1328125" style="252"/>
    <col min="519" max="519" width="12" style="252" bestFit="1" customWidth="1"/>
    <col min="520" max="754" width="9.1328125" style="252"/>
    <col min="755" max="755" width="39.59765625" style="252" customWidth="1"/>
    <col min="756" max="756" width="15.1328125" style="252" customWidth="1"/>
    <col min="757" max="765" width="14.1328125" style="252" customWidth="1"/>
    <col min="766" max="766" width="13.86328125" style="252" customWidth="1"/>
    <col min="767" max="772" width="14.1328125" style="252" customWidth="1"/>
    <col min="773" max="773" width="15" style="252" customWidth="1"/>
    <col min="774" max="774" width="9.1328125" style="252"/>
    <col min="775" max="775" width="12" style="252" bestFit="1" customWidth="1"/>
    <col min="776" max="1010" width="9.1328125" style="252"/>
    <col min="1011" max="1011" width="39.59765625" style="252" customWidth="1"/>
    <col min="1012" max="1012" width="15.1328125" style="252" customWidth="1"/>
    <col min="1013" max="1021" width="14.1328125" style="252" customWidth="1"/>
    <col min="1022" max="1022" width="13.86328125" style="252" customWidth="1"/>
    <col min="1023" max="1028" width="14.1328125" style="252" customWidth="1"/>
    <col min="1029" max="1029" width="15" style="252" customWidth="1"/>
    <col min="1030" max="1030" width="9.1328125" style="252"/>
    <col min="1031" max="1031" width="12" style="252" bestFit="1" customWidth="1"/>
    <col min="1032" max="1266" width="9.1328125" style="252"/>
    <col min="1267" max="1267" width="39.59765625" style="252" customWidth="1"/>
    <col min="1268" max="1268" width="15.1328125" style="252" customWidth="1"/>
    <col min="1269" max="1277" width="14.1328125" style="252" customWidth="1"/>
    <col min="1278" max="1278" width="13.86328125" style="252" customWidth="1"/>
    <col min="1279" max="1284" width="14.1328125" style="252" customWidth="1"/>
    <col min="1285" max="1285" width="15" style="252" customWidth="1"/>
    <col min="1286" max="1286" width="9.1328125" style="252"/>
    <col min="1287" max="1287" width="12" style="252" bestFit="1" customWidth="1"/>
    <col min="1288" max="1522" width="9.1328125" style="252"/>
    <col min="1523" max="1523" width="39.59765625" style="252" customWidth="1"/>
    <col min="1524" max="1524" width="15.1328125" style="252" customWidth="1"/>
    <col min="1525" max="1533" width="14.1328125" style="252" customWidth="1"/>
    <col min="1534" max="1534" width="13.86328125" style="252" customWidth="1"/>
    <col min="1535" max="1540" width="14.1328125" style="252" customWidth="1"/>
    <col min="1541" max="1541" width="15" style="252" customWidth="1"/>
    <col min="1542" max="1542" width="9.1328125" style="252"/>
    <col min="1543" max="1543" width="12" style="252" bestFit="1" customWidth="1"/>
    <col min="1544" max="1778" width="9.1328125" style="252"/>
    <col min="1779" max="1779" width="39.59765625" style="252" customWidth="1"/>
    <col min="1780" max="1780" width="15.1328125" style="252" customWidth="1"/>
    <col min="1781" max="1789" width="14.1328125" style="252" customWidth="1"/>
    <col min="1790" max="1790" width="13.86328125" style="252" customWidth="1"/>
    <col min="1791" max="1796" width="14.1328125" style="252" customWidth="1"/>
    <col min="1797" max="1797" width="15" style="252" customWidth="1"/>
    <col min="1798" max="1798" width="9.1328125" style="252"/>
    <col min="1799" max="1799" width="12" style="252" bestFit="1" customWidth="1"/>
    <col min="1800" max="2034" width="9.1328125" style="252"/>
    <col min="2035" max="2035" width="39.59765625" style="252" customWidth="1"/>
    <col min="2036" max="2036" width="15.1328125" style="252" customWidth="1"/>
    <col min="2037" max="2045" width="14.1328125" style="252" customWidth="1"/>
    <col min="2046" max="2046" width="13.86328125" style="252" customWidth="1"/>
    <col min="2047" max="2052" width="14.1328125" style="252" customWidth="1"/>
    <col min="2053" max="2053" width="15" style="252" customWidth="1"/>
    <col min="2054" max="2054" width="9.1328125" style="252"/>
    <col min="2055" max="2055" width="12" style="252" bestFit="1" customWidth="1"/>
    <col min="2056" max="2290" width="9.1328125" style="252"/>
    <col min="2291" max="2291" width="39.59765625" style="252" customWidth="1"/>
    <col min="2292" max="2292" width="15.1328125" style="252" customWidth="1"/>
    <col min="2293" max="2301" width="14.1328125" style="252" customWidth="1"/>
    <col min="2302" max="2302" width="13.86328125" style="252" customWidth="1"/>
    <col min="2303" max="2308" width="14.1328125" style="252" customWidth="1"/>
    <col min="2309" max="2309" width="15" style="252" customWidth="1"/>
    <col min="2310" max="2310" width="9.1328125" style="252"/>
    <col min="2311" max="2311" width="12" style="252" bestFit="1" customWidth="1"/>
    <col min="2312" max="2546" width="9.1328125" style="252"/>
    <col min="2547" max="2547" width="39.59765625" style="252" customWidth="1"/>
    <col min="2548" max="2548" width="15.1328125" style="252" customWidth="1"/>
    <col min="2549" max="2557" width="14.1328125" style="252" customWidth="1"/>
    <col min="2558" max="2558" width="13.86328125" style="252" customWidth="1"/>
    <col min="2559" max="2564" width="14.1328125" style="252" customWidth="1"/>
    <col min="2565" max="2565" width="15" style="252" customWidth="1"/>
    <col min="2566" max="2566" width="9.1328125" style="252"/>
    <col min="2567" max="2567" width="12" style="252" bestFit="1" customWidth="1"/>
    <col min="2568" max="2802" width="9.1328125" style="252"/>
    <col min="2803" max="2803" width="39.59765625" style="252" customWidth="1"/>
    <col min="2804" max="2804" width="15.1328125" style="252" customWidth="1"/>
    <col min="2805" max="2813" width="14.1328125" style="252" customWidth="1"/>
    <col min="2814" max="2814" width="13.86328125" style="252" customWidth="1"/>
    <col min="2815" max="2820" width="14.1328125" style="252" customWidth="1"/>
    <col min="2821" max="2821" width="15" style="252" customWidth="1"/>
    <col min="2822" max="2822" width="9.1328125" style="252"/>
    <col min="2823" max="2823" width="12" style="252" bestFit="1" customWidth="1"/>
    <col min="2824" max="3058" width="9.1328125" style="252"/>
    <col min="3059" max="3059" width="39.59765625" style="252" customWidth="1"/>
    <col min="3060" max="3060" width="15.1328125" style="252" customWidth="1"/>
    <col min="3061" max="3069" width="14.1328125" style="252" customWidth="1"/>
    <col min="3070" max="3070" width="13.86328125" style="252" customWidth="1"/>
    <col min="3071" max="3076" width="14.1328125" style="252" customWidth="1"/>
    <col min="3077" max="3077" width="15" style="252" customWidth="1"/>
    <col min="3078" max="3078" width="9.1328125" style="252"/>
    <col min="3079" max="3079" width="12" style="252" bestFit="1" customWidth="1"/>
    <col min="3080" max="3314" width="9.1328125" style="252"/>
    <col min="3315" max="3315" width="39.59765625" style="252" customWidth="1"/>
    <col min="3316" max="3316" width="15.1328125" style="252" customWidth="1"/>
    <col min="3317" max="3325" width="14.1328125" style="252" customWidth="1"/>
    <col min="3326" max="3326" width="13.86328125" style="252" customWidth="1"/>
    <col min="3327" max="3332" width="14.1328125" style="252" customWidth="1"/>
    <col min="3333" max="3333" width="15" style="252" customWidth="1"/>
    <col min="3334" max="3334" width="9.1328125" style="252"/>
    <col min="3335" max="3335" width="12" style="252" bestFit="1" customWidth="1"/>
    <col min="3336" max="3570" width="9.1328125" style="252"/>
    <col min="3571" max="3571" width="39.59765625" style="252" customWidth="1"/>
    <col min="3572" max="3572" width="15.1328125" style="252" customWidth="1"/>
    <col min="3573" max="3581" width="14.1328125" style="252" customWidth="1"/>
    <col min="3582" max="3582" width="13.86328125" style="252" customWidth="1"/>
    <col min="3583" max="3588" width="14.1328125" style="252" customWidth="1"/>
    <col min="3589" max="3589" width="15" style="252" customWidth="1"/>
    <col min="3590" max="3590" width="9.1328125" style="252"/>
    <col min="3591" max="3591" width="12" style="252" bestFit="1" customWidth="1"/>
    <col min="3592" max="3826" width="9.1328125" style="252"/>
    <col min="3827" max="3827" width="39.59765625" style="252" customWidth="1"/>
    <col min="3828" max="3828" width="15.1328125" style="252" customWidth="1"/>
    <col min="3829" max="3837" width="14.1328125" style="252" customWidth="1"/>
    <col min="3838" max="3838" width="13.86328125" style="252" customWidth="1"/>
    <col min="3839" max="3844" width="14.1328125" style="252" customWidth="1"/>
    <col min="3845" max="3845" width="15" style="252" customWidth="1"/>
    <col min="3846" max="3846" width="9.1328125" style="252"/>
    <col min="3847" max="3847" width="12" style="252" bestFit="1" customWidth="1"/>
    <col min="3848" max="4082" width="9.1328125" style="252"/>
    <col min="4083" max="4083" width="39.59765625" style="252" customWidth="1"/>
    <col min="4084" max="4084" width="15.1328125" style="252" customWidth="1"/>
    <col min="4085" max="4093" width="14.1328125" style="252" customWidth="1"/>
    <col min="4094" max="4094" width="13.86328125" style="252" customWidth="1"/>
    <col min="4095" max="4100" width="14.1328125" style="252" customWidth="1"/>
    <col min="4101" max="4101" width="15" style="252" customWidth="1"/>
    <col min="4102" max="4102" width="9.1328125" style="252"/>
    <col min="4103" max="4103" width="12" style="252" bestFit="1" customWidth="1"/>
    <col min="4104" max="4338" width="9.1328125" style="252"/>
    <col min="4339" max="4339" width="39.59765625" style="252" customWidth="1"/>
    <col min="4340" max="4340" width="15.1328125" style="252" customWidth="1"/>
    <col min="4341" max="4349" width="14.1328125" style="252" customWidth="1"/>
    <col min="4350" max="4350" width="13.86328125" style="252" customWidth="1"/>
    <col min="4351" max="4356" width="14.1328125" style="252" customWidth="1"/>
    <col min="4357" max="4357" width="15" style="252" customWidth="1"/>
    <col min="4358" max="4358" width="9.1328125" style="252"/>
    <col min="4359" max="4359" width="12" style="252" bestFit="1" customWidth="1"/>
    <col min="4360" max="4594" width="9.1328125" style="252"/>
    <col min="4595" max="4595" width="39.59765625" style="252" customWidth="1"/>
    <col min="4596" max="4596" width="15.1328125" style="252" customWidth="1"/>
    <col min="4597" max="4605" width="14.1328125" style="252" customWidth="1"/>
    <col min="4606" max="4606" width="13.86328125" style="252" customWidth="1"/>
    <col min="4607" max="4612" width="14.1328125" style="252" customWidth="1"/>
    <col min="4613" max="4613" width="15" style="252" customWidth="1"/>
    <col min="4614" max="4614" width="9.1328125" style="252"/>
    <col min="4615" max="4615" width="12" style="252" bestFit="1" customWidth="1"/>
    <col min="4616" max="4850" width="9.1328125" style="252"/>
    <col min="4851" max="4851" width="39.59765625" style="252" customWidth="1"/>
    <col min="4852" max="4852" width="15.1328125" style="252" customWidth="1"/>
    <col min="4853" max="4861" width="14.1328125" style="252" customWidth="1"/>
    <col min="4862" max="4862" width="13.86328125" style="252" customWidth="1"/>
    <col min="4863" max="4868" width="14.1328125" style="252" customWidth="1"/>
    <col min="4869" max="4869" width="15" style="252" customWidth="1"/>
    <col min="4870" max="4870" width="9.1328125" style="252"/>
    <col min="4871" max="4871" width="12" style="252" bestFit="1" customWidth="1"/>
    <col min="4872" max="5106" width="9.1328125" style="252"/>
    <col min="5107" max="5107" width="39.59765625" style="252" customWidth="1"/>
    <col min="5108" max="5108" width="15.1328125" style="252" customWidth="1"/>
    <col min="5109" max="5117" width="14.1328125" style="252" customWidth="1"/>
    <col min="5118" max="5118" width="13.86328125" style="252" customWidth="1"/>
    <col min="5119" max="5124" width="14.1328125" style="252" customWidth="1"/>
    <col min="5125" max="5125" width="15" style="252" customWidth="1"/>
    <col min="5126" max="5126" width="9.1328125" style="252"/>
    <col min="5127" max="5127" width="12" style="252" bestFit="1" customWidth="1"/>
    <col min="5128" max="5362" width="9.1328125" style="252"/>
    <col min="5363" max="5363" width="39.59765625" style="252" customWidth="1"/>
    <col min="5364" max="5364" width="15.1328125" style="252" customWidth="1"/>
    <col min="5365" max="5373" width="14.1328125" style="252" customWidth="1"/>
    <col min="5374" max="5374" width="13.86328125" style="252" customWidth="1"/>
    <col min="5375" max="5380" width="14.1328125" style="252" customWidth="1"/>
    <col min="5381" max="5381" width="15" style="252" customWidth="1"/>
    <col min="5382" max="5382" width="9.1328125" style="252"/>
    <col min="5383" max="5383" width="12" style="252" bestFit="1" customWidth="1"/>
    <col min="5384" max="5618" width="9.1328125" style="252"/>
    <col min="5619" max="5619" width="39.59765625" style="252" customWidth="1"/>
    <col min="5620" max="5620" width="15.1328125" style="252" customWidth="1"/>
    <col min="5621" max="5629" width="14.1328125" style="252" customWidth="1"/>
    <col min="5630" max="5630" width="13.86328125" style="252" customWidth="1"/>
    <col min="5631" max="5636" width="14.1328125" style="252" customWidth="1"/>
    <col min="5637" max="5637" width="15" style="252" customWidth="1"/>
    <col min="5638" max="5638" width="9.1328125" style="252"/>
    <col min="5639" max="5639" width="12" style="252" bestFit="1" customWidth="1"/>
    <col min="5640" max="5874" width="9.1328125" style="252"/>
    <col min="5875" max="5875" width="39.59765625" style="252" customWidth="1"/>
    <col min="5876" max="5876" width="15.1328125" style="252" customWidth="1"/>
    <col min="5877" max="5885" width="14.1328125" style="252" customWidth="1"/>
    <col min="5886" max="5886" width="13.86328125" style="252" customWidth="1"/>
    <col min="5887" max="5892" width="14.1328125" style="252" customWidth="1"/>
    <col min="5893" max="5893" width="15" style="252" customWidth="1"/>
    <col min="5894" max="5894" width="9.1328125" style="252"/>
    <col min="5895" max="5895" width="12" style="252" bestFit="1" customWidth="1"/>
    <col min="5896" max="6130" width="9.1328125" style="252"/>
    <col min="6131" max="6131" width="39.59765625" style="252" customWidth="1"/>
    <col min="6132" max="6132" width="15.1328125" style="252" customWidth="1"/>
    <col min="6133" max="6141" width="14.1328125" style="252" customWidth="1"/>
    <col min="6142" max="6142" width="13.86328125" style="252" customWidth="1"/>
    <col min="6143" max="6148" width="14.1328125" style="252" customWidth="1"/>
    <col min="6149" max="6149" width="15" style="252" customWidth="1"/>
    <col min="6150" max="6150" width="9.1328125" style="252"/>
    <col min="6151" max="6151" width="12" style="252" bestFit="1" customWidth="1"/>
    <col min="6152" max="6386" width="9.1328125" style="252"/>
    <col min="6387" max="6387" width="39.59765625" style="252" customWidth="1"/>
    <col min="6388" max="6388" width="15.1328125" style="252" customWidth="1"/>
    <col min="6389" max="6397" width="14.1328125" style="252" customWidth="1"/>
    <col min="6398" max="6398" width="13.86328125" style="252" customWidth="1"/>
    <col min="6399" max="6404" width="14.1328125" style="252" customWidth="1"/>
    <col min="6405" max="6405" width="15" style="252" customWidth="1"/>
    <col min="6406" max="6406" width="9.1328125" style="252"/>
    <col min="6407" max="6407" width="12" style="252" bestFit="1" customWidth="1"/>
    <col min="6408" max="6642" width="9.1328125" style="252"/>
    <col min="6643" max="6643" width="39.59765625" style="252" customWidth="1"/>
    <col min="6644" max="6644" width="15.1328125" style="252" customWidth="1"/>
    <col min="6645" max="6653" width="14.1328125" style="252" customWidth="1"/>
    <col min="6654" max="6654" width="13.86328125" style="252" customWidth="1"/>
    <col min="6655" max="6660" width="14.1328125" style="252" customWidth="1"/>
    <col min="6661" max="6661" width="15" style="252" customWidth="1"/>
    <col min="6662" max="6662" width="9.1328125" style="252"/>
    <col min="6663" max="6663" width="12" style="252" bestFit="1" customWidth="1"/>
    <col min="6664" max="6898" width="9.1328125" style="252"/>
    <col min="6899" max="6899" width="39.59765625" style="252" customWidth="1"/>
    <col min="6900" max="6900" width="15.1328125" style="252" customWidth="1"/>
    <col min="6901" max="6909" width="14.1328125" style="252" customWidth="1"/>
    <col min="6910" max="6910" width="13.86328125" style="252" customWidth="1"/>
    <col min="6911" max="6916" width="14.1328125" style="252" customWidth="1"/>
    <col min="6917" max="6917" width="15" style="252" customWidth="1"/>
    <col min="6918" max="6918" width="9.1328125" style="252"/>
    <col min="6919" max="6919" width="12" style="252" bestFit="1" customWidth="1"/>
    <col min="6920" max="7154" width="9.1328125" style="252"/>
    <col min="7155" max="7155" width="39.59765625" style="252" customWidth="1"/>
    <col min="7156" max="7156" width="15.1328125" style="252" customWidth="1"/>
    <col min="7157" max="7165" width="14.1328125" style="252" customWidth="1"/>
    <col min="7166" max="7166" width="13.86328125" style="252" customWidth="1"/>
    <col min="7167" max="7172" width="14.1328125" style="252" customWidth="1"/>
    <col min="7173" max="7173" width="15" style="252" customWidth="1"/>
    <col min="7174" max="7174" width="9.1328125" style="252"/>
    <col min="7175" max="7175" width="12" style="252" bestFit="1" customWidth="1"/>
    <col min="7176" max="7410" width="9.1328125" style="252"/>
    <col min="7411" max="7411" width="39.59765625" style="252" customWidth="1"/>
    <col min="7412" max="7412" width="15.1328125" style="252" customWidth="1"/>
    <col min="7413" max="7421" width="14.1328125" style="252" customWidth="1"/>
    <col min="7422" max="7422" width="13.86328125" style="252" customWidth="1"/>
    <col min="7423" max="7428" width="14.1328125" style="252" customWidth="1"/>
    <col min="7429" max="7429" width="15" style="252" customWidth="1"/>
    <col min="7430" max="7430" width="9.1328125" style="252"/>
    <col min="7431" max="7431" width="12" style="252" bestFit="1" customWidth="1"/>
    <col min="7432" max="7666" width="9.1328125" style="252"/>
    <col min="7667" max="7667" width="39.59765625" style="252" customWidth="1"/>
    <col min="7668" max="7668" width="15.1328125" style="252" customWidth="1"/>
    <col min="7669" max="7677" width="14.1328125" style="252" customWidth="1"/>
    <col min="7678" max="7678" width="13.86328125" style="252" customWidth="1"/>
    <col min="7679" max="7684" width="14.1328125" style="252" customWidth="1"/>
    <col min="7685" max="7685" width="15" style="252" customWidth="1"/>
    <col min="7686" max="7686" width="9.1328125" style="252"/>
    <col min="7687" max="7687" width="12" style="252" bestFit="1" customWidth="1"/>
    <col min="7688" max="7922" width="9.1328125" style="252"/>
    <col min="7923" max="7923" width="39.59765625" style="252" customWidth="1"/>
    <col min="7924" max="7924" width="15.1328125" style="252" customWidth="1"/>
    <col min="7925" max="7933" width="14.1328125" style="252" customWidth="1"/>
    <col min="7934" max="7934" width="13.86328125" style="252" customWidth="1"/>
    <col min="7935" max="7940" width="14.1328125" style="252" customWidth="1"/>
    <col min="7941" max="7941" width="15" style="252" customWidth="1"/>
    <col min="7942" max="7942" width="9.1328125" style="252"/>
    <col min="7943" max="7943" width="12" style="252" bestFit="1" customWidth="1"/>
    <col min="7944" max="8178" width="9.1328125" style="252"/>
    <col min="8179" max="8179" width="39.59765625" style="252" customWidth="1"/>
    <col min="8180" max="8180" width="15.1328125" style="252" customWidth="1"/>
    <col min="8181" max="8189" width="14.1328125" style="252" customWidth="1"/>
    <col min="8190" max="8190" width="13.86328125" style="252" customWidth="1"/>
    <col min="8191" max="8196" width="14.1328125" style="252" customWidth="1"/>
    <col min="8197" max="8197" width="15" style="252" customWidth="1"/>
    <col min="8198" max="8198" width="9.1328125" style="252"/>
    <col min="8199" max="8199" width="12" style="252" bestFit="1" customWidth="1"/>
    <col min="8200" max="8434" width="9.1328125" style="252"/>
    <col min="8435" max="8435" width="39.59765625" style="252" customWidth="1"/>
    <col min="8436" max="8436" width="15.1328125" style="252" customWidth="1"/>
    <col min="8437" max="8445" width="14.1328125" style="252" customWidth="1"/>
    <col min="8446" max="8446" width="13.86328125" style="252" customWidth="1"/>
    <col min="8447" max="8452" width="14.1328125" style="252" customWidth="1"/>
    <col min="8453" max="8453" width="15" style="252" customWidth="1"/>
    <col min="8454" max="8454" width="9.1328125" style="252"/>
    <col min="8455" max="8455" width="12" style="252" bestFit="1" customWidth="1"/>
    <col min="8456" max="8690" width="9.1328125" style="252"/>
    <col min="8691" max="8691" width="39.59765625" style="252" customWidth="1"/>
    <col min="8692" max="8692" width="15.1328125" style="252" customWidth="1"/>
    <col min="8693" max="8701" width="14.1328125" style="252" customWidth="1"/>
    <col min="8702" max="8702" width="13.86328125" style="252" customWidth="1"/>
    <col min="8703" max="8708" width="14.1328125" style="252" customWidth="1"/>
    <col min="8709" max="8709" width="15" style="252" customWidth="1"/>
    <col min="8710" max="8710" width="9.1328125" style="252"/>
    <col min="8711" max="8711" width="12" style="252" bestFit="1" customWidth="1"/>
    <col min="8712" max="8946" width="9.1328125" style="252"/>
    <col min="8947" max="8947" width="39.59765625" style="252" customWidth="1"/>
    <col min="8948" max="8948" width="15.1328125" style="252" customWidth="1"/>
    <col min="8949" max="8957" width="14.1328125" style="252" customWidth="1"/>
    <col min="8958" max="8958" width="13.86328125" style="252" customWidth="1"/>
    <col min="8959" max="8964" width="14.1328125" style="252" customWidth="1"/>
    <col min="8965" max="8965" width="15" style="252" customWidth="1"/>
    <col min="8966" max="8966" width="9.1328125" style="252"/>
    <col min="8967" max="8967" width="12" style="252" bestFit="1" customWidth="1"/>
    <col min="8968" max="9202" width="9.1328125" style="252"/>
    <col min="9203" max="9203" width="39.59765625" style="252" customWidth="1"/>
    <col min="9204" max="9204" width="15.1328125" style="252" customWidth="1"/>
    <col min="9205" max="9213" width="14.1328125" style="252" customWidth="1"/>
    <col min="9214" max="9214" width="13.86328125" style="252" customWidth="1"/>
    <col min="9215" max="9220" width="14.1328125" style="252" customWidth="1"/>
    <col min="9221" max="9221" width="15" style="252" customWidth="1"/>
    <col min="9222" max="9222" width="9.1328125" style="252"/>
    <col min="9223" max="9223" width="12" style="252" bestFit="1" customWidth="1"/>
    <col min="9224" max="9458" width="9.1328125" style="252"/>
    <col min="9459" max="9459" width="39.59765625" style="252" customWidth="1"/>
    <col min="9460" max="9460" width="15.1328125" style="252" customWidth="1"/>
    <col min="9461" max="9469" width="14.1328125" style="252" customWidth="1"/>
    <col min="9470" max="9470" width="13.86328125" style="252" customWidth="1"/>
    <col min="9471" max="9476" width="14.1328125" style="252" customWidth="1"/>
    <col min="9477" max="9477" width="15" style="252" customWidth="1"/>
    <col min="9478" max="9478" width="9.1328125" style="252"/>
    <col min="9479" max="9479" width="12" style="252" bestFit="1" customWidth="1"/>
    <col min="9480" max="9714" width="9.1328125" style="252"/>
    <col min="9715" max="9715" width="39.59765625" style="252" customWidth="1"/>
    <col min="9716" max="9716" width="15.1328125" style="252" customWidth="1"/>
    <col min="9717" max="9725" width="14.1328125" style="252" customWidth="1"/>
    <col min="9726" max="9726" width="13.86328125" style="252" customWidth="1"/>
    <col min="9727" max="9732" width="14.1328125" style="252" customWidth="1"/>
    <col min="9733" max="9733" width="15" style="252" customWidth="1"/>
    <col min="9734" max="9734" width="9.1328125" style="252"/>
    <col min="9735" max="9735" width="12" style="252" bestFit="1" customWidth="1"/>
    <col min="9736" max="9970" width="9.1328125" style="252"/>
    <col min="9971" max="9971" width="39.59765625" style="252" customWidth="1"/>
    <col min="9972" max="9972" width="15.1328125" style="252" customWidth="1"/>
    <col min="9973" max="9981" width="14.1328125" style="252" customWidth="1"/>
    <col min="9982" max="9982" width="13.86328125" style="252" customWidth="1"/>
    <col min="9983" max="9988" width="14.1328125" style="252" customWidth="1"/>
    <col min="9989" max="9989" width="15" style="252" customWidth="1"/>
    <col min="9990" max="9990" width="9.1328125" style="252"/>
    <col min="9991" max="9991" width="12" style="252" bestFit="1" customWidth="1"/>
    <col min="9992" max="10226" width="9.1328125" style="252"/>
    <col min="10227" max="10227" width="39.59765625" style="252" customWidth="1"/>
    <col min="10228" max="10228" width="15.1328125" style="252" customWidth="1"/>
    <col min="10229" max="10237" width="14.1328125" style="252" customWidth="1"/>
    <col min="10238" max="10238" width="13.86328125" style="252" customWidth="1"/>
    <col min="10239" max="10244" width="14.1328125" style="252" customWidth="1"/>
    <col min="10245" max="10245" width="15" style="252" customWidth="1"/>
    <col min="10246" max="10246" width="9.1328125" style="252"/>
    <col min="10247" max="10247" width="12" style="252" bestFit="1" customWidth="1"/>
    <col min="10248" max="10482" width="9.1328125" style="252"/>
    <col min="10483" max="10483" width="39.59765625" style="252" customWidth="1"/>
    <col min="10484" max="10484" width="15.1328125" style="252" customWidth="1"/>
    <col min="10485" max="10493" width="14.1328125" style="252" customWidth="1"/>
    <col min="10494" max="10494" width="13.86328125" style="252" customWidth="1"/>
    <col min="10495" max="10500" width="14.1328125" style="252" customWidth="1"/>
    <col min="10501" max="10501" width="15" style="252" customWidth="1"/>
    <col min="10502" max="10502" width="9.1328125" style="252"/>
    <col min="10503" max="10503" width="12" style="252" bestFit="1" customWidth="1"/>
    <col min="10504" max="10738" width="9.1328125" style="252"/>
    <col min="10739" max="10739" width="39.59765625" style="252" customWidth="1"/>
    <col min="10740" max="10740" width="15.1328125" style="252" customWidth="1"/>
    <col min="10741" max="10749" width="14.1328125" style="252" customWidth="1"/>
    <col min="10750" max="10750" width="13.86328125" style="252" customWidth="1"/>
    <col min="10751" max="10756" width="14.1328125" style="252" customWidth="1"/>
    <col min="10757" max="10757" width="15" style="252" customWidth="1"/>
    <col min="10758" max="10758" width="9.1328125" style="252"/>
    <col min="10759" max="10759" width="12" style="252" bestFit="1" customWidth="1"/>
    <col min="10760" max="10994" width="9.1328125" style="252"/>
    <col min="10995" max="10995" width="39.59765625" style="252" customWidth="1"/>
    <col min="10996" max="10996" width="15.1328125" style="252" customWidth="1"/>
    <col min="10997" max="11005" width="14.1328125" style="252" customWidth="1"/>
    <col min="11006" max="11006" width="13.86328125" style="252" customWidth="1"/>
    <col min="11007" max="11012" width="14.1328125" style="252" customWidth="1"/>
    <col min="11013" max="11013" width="15" style="252" customWidth="1"/>
    <col min="11014" max="11014" width="9.1328125" style="252"/>
    <col min="11015" max="11015" width="12" style="252" bestFit="1" customWidth="1"/>
    <col min="11016" max="11250" width="9.1328125" style="252"/>
    <col min="11251" max="11251" width="39.59765625" style="252" customWidth="1"/>
    <col min="11252" max="11252" width="15.1328125" style="252" customWidth="1"/>
    <col min="11253" max="11261" width="14.1328125" style="252" customWidth="1"/>
    <col min="11262" max="11262" width="13.86328125" style="252" customWidth="1"/>
    <col min="11263" max="11268" width="14.1328125" style="252" customWidth="1"/>
    <col min="11269" max="11269" width="15" style="252" customWidth="1"/>
    <col min="11270" max="11270" width="9.1328125" style="252"/>
    <col min="11271" max="11271" width="12" style="252" bestFit="1" customWidth="1"/>
    <col min="11272" max="11506" width="9.1328125" style="252"/>
    <col min="11507" max="11507" width="39.59765625" style="252" customWidth="1"/>
    <col min="11508" max="11508" width="15.1328125" style="252" customWidth="1"/>
    <col min="11509" max="11517" width="14.1328125" style="252" customWidth="1"/>
    <col min="11518" max="11518" width="13.86328125" style="252" customWidth="1"/>
    <col min="11519" max="11524" width="14.1328125" style="252" customWidth="1"/>
    <col min="11525" max="11525" width="15" style="252" customWidth="1"/>
    <col min="11526" max="11526" width="9.1328125" style="252"/>
    <col min="11527" max="11527" width="12" style="252" bestFit="1" customWidth="1"/>
    <col min="11528" max="11762" width="9.1328125" style="252"/>
    <col min="11763" max="11763" width="39.59765625" style="252" customWidth="1"/>
    <col min="11764" max="11764" width="15.1328125" style="252" customWidth="1"/>
    <col min="11765" max="11773" width="14.1328125" style="252" customWidth="1"/>
    <col min="11774" max="11774" width="13.86328125" style="252" customWidth="1"/>
    <col min="11775" max="11780" width="14.1328125" style="252" customWidth="1"/>
    <col min="11781" max="11781" width="15" style="252" customWidth="1"/>
    <col min="11782" max="11782" width="9.1328125" style="252"/>
    <col min="11783" max="11783" width="12" style="252" bestFit="1" customWidth="1"/>
    <col min="11784" max="12018" width="9.1328125" style="252"/>
    <col min="12019" max="12019" width="39.59765625" style="252" customWidth="1"/>
    <col min="12020" max="12020" width="15.1328125" style="252" customWidth="1"/>
    <col min="12021" max="12029" width="14.1328125" style="252" customWidth="1"/>
    <col min="12030" max="12030" width="13.86328125" style="252" customWidth="1"/>
    <col min="12031" max="12036" width="14.1328125" style="252" customWidth="1"/>
    <col min="12037" max="12037" width="15" style="252" customWidth="1"/>
    <col min="12038" max="12038" width="9.1328125" style="252"/>
    <col min="12039" max="12039" width="12" style="252" bestFit="1" customWidth="1"/>
    <col min="12040" max="12274" width="9.1328125" style="252"/>
    <col min="12275" max="12275" width="39.59765625" style="252" customWidth="1"/>
    <col min="12276" max="12276" width="15.1328125" style="252" customWidth="1"/>
    <col min="12277" max="12285" width="14.1328125" style="252" customWidth="1"/>
    <col min="12286" max="12286" width="13.86328125" style="252" customWidth="1"/>
    <col min="12287" max="12292" width="14.1328125" style="252" customWidth="1"/>
    <col min="12293" max="12293" width="15" style="252" customWidth="1"/>
    <col min="12294" max="12294" width="9.1328125" style="252"/>
    <col min="12295" max="12295" width="12" style="252" bestFit="1" customWidth="1"/>
    <col min="12296" max="12530" width="9.1328125" style="252"/>
    <col min="12531" max="12531" width="39.59765625" style="252" customWidth="1"/>
    <col min="12532" max="12532" width="15.1328125" style="252" customWidth="1"/>
    <col min="12533" max="12541" width="14.1328125" style="252" customWidth="1"/>
    <col min="12542" max="12542" width="13.86328125" style="252" customWidth="1"/>
    <col min="12543" max="12548" width="14.1328125" style="252" customWidth="1"/>
    <col min="12549" max="12549" width="15" style="252" customWidth="1"/>
    <col min="12550" max="12550" width="9.1328125" style="252"/>
    <col min="12551" max="12551" width="12" style="252" bestFit="1" customWidth="1"/>
    <col min="12552" max="12786" width="9.1328125" style="252"/>
    <col min="12787" max="12787" width="39.59765625" style="252" customWidth="1"/>
    <col min="12788" max="12788" width="15.1328125" style="252" customWidth="1"/>
    <col min="12789" max="12797" width="14.1328125" style="252" customWidth="1"/>
    <col min="12798" max="12798" width="13.86328125" style="252" customWidth="1"/>
    <col min="12799" max="12804" width="14.1328125" style="252" customWidth="1"/>
    <col min="12805" max="12805" width="15" style="252" customWidth="1"/>
    <col min="12806" max="12806" width="9.1328125" style="252"/>
    <col min="12807" max="12807" width="12" style="252" bestFit="1" customWidth="1"/>
    <col min="12808" max="13042" width="9.1328125" style="252"/>
    <col min="13043" max="13043" width="39.59765625" style="252" customWidth="1"/>
    <col min="13044" max="13044" width="15.1328125" style="252" customWidth="1"/>
    <col min="13045" max="13053" width="14.1328125" style="252" customWidth="1"/>
    <col min="13054" max="13054" width="13.86328125" style="252" customWidth="1"/>
    <col min="13055" max="13060" width="14.1328125" style="252" customWidth="1"/>
    <col min="13061" max="13061" width="15" style="252" customWidth="1"/>
    <col min="13062" max="13062" width="9.1328125" style="252"/>
    <col min="13063" max="13063" width="12" style="252" bestFit="1" customWidth="1"/>
    <col min="13064" max="13298" width="9.1328125" style="252"/>
    <col min="13299" max="13299" width="39.59765625" style="252" customWidth="1"/>
    <col min="13300" max="13300" width="15.1328125" style="252" customWidth="1"/>
    <col min="13301" max="13309" width="14.1328125" style="252" customWidth="1"/>
    <col min="13310" max="13310" width="13.86328125" style="252" customWidth="1"/>
    <col min="13311" max="13316" width="14.1328125" style="252" customWidth="1"/>
    <col min="13317" max="13317" width="15" style="252" customWidth="1"/>
    <col min="13318" max="13318" width="9.1328125" style="252"/>
    <col min="13319" max="13319" width="12" style="252" bestFit="1" customWidth="1"/>
    <col min="13320" max="13554" width="9.1328125" style="252"/>
    <col min="13555" max="13555" width="39.59765625" style="252" customWidth="1"/>
    <col min="13556" max="13556" width="15.1328125" style="252" customWidth="1"/>
    <col min="13557" max="13565" width="14.1328125" style="252" customWidth="1"/>
    <col min="13566" max="13566" width="13.86328125" style="252" customWidth="1"/>
    <col min="13567" max="13572" width="14.1328125" style="252" customWidth="1"/>
    <col min="13573" max="13573" width="15" style="252" customWidth="1"/>
    <col min="13574" max="13574" width="9.1328125" style="252"/>
    <col min="13575" max="13575" width="12" style="252" bestFit="1" customWidth="1"/>
    <col min="13576" max="13810" width="9.1328125" style="252"/>
    <col min="13811" max="13811" width="39.59765625" style="252" customWidth="1"/>
    <col min="13812" max="13812" width="15.1328125" style="252" customWidth="1"/>
    <col min="13813" max="13821" width="14.1328125" style="252" customWidth="1"/>
    <col min="13822" max="13822" width="13.86328125" style="252" customWidth="1"/>
    <col min="13823" max="13828" width="14.1328125" style="252" customWidth="1"/>
    <col min="13829" max="13829" width="15" style="252" customWidth="1"/>
    <col min="13830" max="13830" width="9.1328125" style="252"/>
    <col min="13831" max="13831" width="12" style="252" bestFit="1" customWidth="1"/>
    <col min="13832" max="14066" width="9.1328125" style="252"/>
    <col min="14067" max="14067" width="39.59765625" style="252" customWidth="1"/>
    <col min="14068" max="14068" width="15.1328125" style="252" customWidth="1"/>
    <col min="14069" max="14077" width="14.1328125" style="252" customWidth="1"/>
    <col min="14078" max="14078" width="13.86328125" style="252" customWidth="1"/>
    <col min="14079" max="14084" width="14.1328125" style="252" customWidth="1"/>
    <col min="14085" max="14085" width="15" style="252" customWidth="1"/>
    <col min="14086" max="14086" width="9.1328125" style="252"/>
    <col min="14087" max="14087" width="12" style="252" bestFit="1" customWidth="1"/>
    <col min="14088" max="14322" width="9.1328125" style="252"/>
    <col min="14323" max="14323" width="39.59765625" style="252" customWidth="1"/>
    <col min="14324" max="14324" width="15.1328125" style="252" customWidth="1"/>
    <col min="14325" max="14333" width="14.1328125" style="252" customWidth="1"/>
    <col min="14334" max="14334" width="13.86328125" style="252" customWidth="1"/>
    <col min="14335" max="14340" width="14.1328125" style="252" customWidth="1"/>
    <col min="14341" max="14341" width="15" style="252" customWidth="1"/>
    <col min="14342" max="14342" width="9.1328125" style="252"/>
    <col min="14343" max="14343" width="12" style="252" bestFit="1" customWidth="1"/>
    <col min="14344" max="14578" width="9.1328125" style="252"/>
    <col min="14579" max="14579" width="39.59765625" style="252" customWidth="1"/>
    <col min="14580" max="14580" width="15.1328125" style="252" customWidth="1"/>
    <col min="14581" max="14589" width="14.1328125" style="252" customWidth="1"/>
    <col min="14590" max="14590" width="13.86328125" style="252" customWidth="1"/>
    <col min="14591" max="14596" width="14.1328125" style="252" customWidth="1"/>
    <col min="14597" max="14597" width="15" style="252" customWidth="1"/>
    <col min="14598" max="14598" width="9.1328125" style="252"/>
    <col min="14599" max="14599" width="12" style="252" bestFit="1" customWidth="1"/>
    <col min="14600" max="14834" width="9.1328125" style="252"/>
    <col min="14835" max="14835" width="39.59765625" style="252" customWidth="1"/>
    <col min="14836" max="14836" width="15.1328125" style="252" customWidth="1"/>
    <col min="14837" max="14845" width="14.1328125" style="252" customWidth="1"/>
    <col min="14846" max="14846" width="13.86328125" style="252" customWidth="1"/>
    <col min="14847" max="14852" width="14.1328125" style="252" customWidth="1"/>
    <col min="14853" max="14853" width="15" style="252" customWidth="1"/>
    <col min="14854" max="14854" width="9.1328125" style="252"/>
    <col min="14855" max="14855" width="12" style="252" bestFit="1" customWidth="1"/>
    <col min="14856" max="15090" width="9.1328125" style="252"/>
    <col min="15091" max="15091" width="39.59765625" style="252" customWidth="1"/>
    <col min="15092" max="15092" width="15.1328125" style="252" customWidth="1"/>
    <col min="15093" max="15101" width="14.1328125" style="252" customWidth="1"/>
    <col min="15102" max="15102" width="13.86328125" style="252" customWidth="1"/>
    <col min="15103" max="15108" width="14.1328125" style="252" customWidth="1"/>
    <col min="15109" max="15109" width="15" style="252" customWidth="1"/>
    <col min="15110" max="15110" width="9.1328125" style="252"/>
    <col min="15111" max="15111" width="12" style="252" bestFit="1" customWidth="1"/>
    <col min="15112" max="15346" width="9.1328125" style="252"/>
    <col min="15347" max="15347" width="39.59765625" style="252" customWidth="1"/>
    <col min="15348" max="15348" width="15.1328125" style="252" customWidth="1"/>
    <col min="15349" max="15357" width="14.1328125" style="252" customWidth="1"/>
    <col min="15358" max="15358" width="13.86328125" style="252" customWidth="1"/>
    <col min="15359" max="15364" width="14.1328125" style="252" customWidth="1"/>
    <col min="15365" max="15365" width="15" style="252" customWidth="1"/>
    <col min="15366" max="15366" width="9.1328125" style="252"/>
    <col min="15367" max="15367" width="12" style="252" bestFit="1" customWidth="1"/>
    <col min="15368" max="15602" width="9.1328125" style="252"/>
    <col min="15603" max="15603" width="39.59765625" style="252" customWidth="1"/>
    <col min="15604" max="15604" width="15.1328125" style="252" customWidth="1"/>
    <col min="15605" max="15613" width="14.1328125" style="252" customWidth="1"/>
    <col min="15614" max="15614" width="13.86328125" style="252" customWidth="1"/>
    <col min="15615" max="15620" width="14.1328125" style="252" customWidth="1"/>
    <col min="15621" max="15621" width="15" style="252" customWidth="1"/>
    <col min="15622" max="15622" width="9.1328125" style="252"/>
    <col min="15623" max="15623" width="12" style="252" bestFit="1" customWidth="1"/>
    <col min="15624" max="15858" width="9.1328125" style="252"/>
    <col min="15859" max="15859" width="39.59765625" style="252" customWidth="1"/>
    <col min="15860" max="15860" width="15.1328125" style="252" customWidth="1"/>
    <col min="15861" max="15869" width="14.1328125" style="252" customWidth="1"/>
    <col min="15870" max="15870" width="13.86328125" style="252" customWidth="1"/>
    <col min="15871" max="15876" width="14.1328125" style="252" customWidth="1"/>
    <col min="15877" max="15877" width="15" style="252" customWidth="1"/>
    <col min="15878" max="15878" width="9.1328125" style="252"/>
    <col min="15879" max="15879" width="12" style="252" bestFit="1" customWidth="1"/>
    <col min="15880" max="16114" width="9.1328125" style="252"/>
    <col min="16115" max="16115" width="39.59765625" style="252" customWidth="1"/>
    <col min="16116" max="16116" width="15.1328125" style="252" customWidth="1"/>
    <col min="16117" max="16125" width="14.1328125" style="252" customWidth="1"/>
    <col min="16126" max="16126" width="13.86328125" style="252" customWidth="1"/>
    <col min="16127" max="16132" width="14.1328125" style="252" customWidth="1"/>
    <col min="16133" max="16133" width="15" style="252" customWidth="1"/>
    <col min="16134" max="16134" width="9.1328125" style="252"/>
    <col min="16135" max="16135" width="12" style="252" bestFit="1" customWidth="1"/>
    <col min="16136" max="16384" width="9.1328125" style="252"/>
  </cols>
  <sheetData>
    <row r="1" spans="1:15" s="250" customFormat="1" ht="13.9">
      <c r="A1" s="648" t="s">
        <v>29</v>
      </c>
      <c r="B1" s="648"/>
      <c r="C1" s="648"/>
      <c r="D1" s="648"/>
      <c r="E1" s="648"/>
      <c r="F1" s="648"/>
      <c r="G1" s="648"/>
      <c r="H1" s="648"/>
      <c r="I1" s="648"/>
      <c r="J1" s="648"/>
      <c r="K1" s="648"/>
      <c r="L1" s="648"/>
      <c r="M1" s="648"/>
    </row>
    <row r="2" spans="1:15" s="251" customFormat="1" ht="21.75" customHeight="1">
      <c r="A2" s="649" t="s">
        <v>1249</v>
      </c>
      <c r="B2" s="650"/>
      <c r="C2" s="650"/>
      <c r="D2" s="650"/>
      <c r="E2" s="650"/>
      <c r="F2" s="650"/>
      <c r="G2" s="650"/>
      <c r="H2" s="650"/>
      <c r="I2" s="650"/>
      <c r="J2" s="650"/>
      <c r="K2" s="650"/>
      <c r="L2" s="650"/>
      <c r="M2" s="650"/>
    </row>
    <row r="3" spans="1:15" s="250" customFormat="1" ht="13.9">
      <c r="A3" s="651" t="s">
        <v>2015</v>
      </c>
      <c r="B3" s="651"/>
      <c r="C3" s="651"/>
      <c r="D3" s="651"/>
      <c r="E3" s="651"/>
      <c r="F3" s="651"/>
      <c r="G3" s="651"/>
      <c r="H3" s="651"/>
      <c r="I3" s="651"/>
      <c r="J3" s="651"/>
      <c r="K3" s="651"/>
      <c r="L3" s="651"/>
      <c r="M3" s="651"/>
    </row>
    <row r="4" spans="1:15" s="250" customFormat="1" ht="13.9">
      <c r="A4" s="652" t="s">
        <v>30</v>
      </c>
      <c r="B4" s="652"/>
      <c r="C4" s="652"/>
      <c r="D4" s="652"/>
      <c r="E4" s="652"/>
      <c r="F4" s="652"/>
      <c r="G4" s="652"/>
      <c r="H4" s="652"/>
      <c r="I4" s="652"/>
      <c r="J4" s="652"/>
      <c r="K4" s="652"/>
      <c r="L4" s="652"/>
      <c r="M4" s="652"/>
    </row>
    <row r="5" spans="1:15" ht="45.75" customHeight="1">
      <c r="A5" s="659" t="s">
        <v>0</v>
      </c>
      <c r="B5" s="659" t="s">
        <v>67</v>
      </c>
      <c r="C5" s="655" t="s">
        <v>1057</v>
      </c>
      <c r="D5" s="653" t="s">
        <v>1058</v>
      </c>
      <c r="E5" s="654"/>
      <c r="F5" s="654"/>
      <c r="G5" s="654"/>
      <c r="H5" s="654"/>
      <c r="I5" s="654"/>
      <c r="J5" s="653" t="s">
        <v>1059</v>
      </c>
      <c r="K5" s="657"/>
      <c r="L5" s="655" t="s">
        <v>1062</v>
      </c>
      <c r="M5" s="655" t="s">
        <v>13</v>
      </c>
    </row>
    <row r="6" spans="1:15" ht="26.25" customHeight="1">
      <c r="A6" s="660"/>
      <c r="B6" s="660"/>
      <c r="C6" s="658"/>
      <c r="D6" s="230" t="s">
        <v>22</v>
      </c>
      <c r="E6" s="231" t="s">
        <v>8</v>
      </c>
      <c r="F6" s="231" t="s">
        <v>9</v>
      </c>
      <c r="G6" s="231" t="s">
        <v>10</v>
      </c>
      <c r="H6" s="230" t="s">
        <v>11</v>
      </c>
      <c r="I6" s="231" t="s">
        <v>12</v>
      </c>
      <c r="J6" s="230" t="s">
        <v>1060</v>
      </c>
      <c r="K6" s="230" t="s">
        <v>1061</v>
      </c>
      <c r="L6" s="658"/>
      <c r="M6" s="656"/>
    </row>
    <row r="7" spans="1:15">
      <c r="A7" s="232">
        <v>1</v>
      </c>
      <c r="B7" s="232">
        <v>2</v>
      </c>
      <c r="C7" s="233">
        <v>3</v>
      </c>
      <c r="D7" s="232">
        <v>4</v>
      </c>
      <c r="E7" s="232">
        <v>5</v>
      </c>
      <c r="F7" s="233">
        <v>6</v>
      </c>
      <c r="G7" s="232">
        <v>7</v>
      </c>
      <c r="H7" s="232">
        <v>8</v>
      </c>
      <c r="I7" s="233">
        <v>9</v>
      </c>
      <c r="J7" s="232">
        <v>10</v>
      </c>
      <c r="K7" s="232">
        <v>11</v>
      </c>
      <c r="L7" s="233">
        <v>12</v>
      </c>
      <c r="M7" s="232">
        <v>13</v>
      </c>
    </row>
    <row r="8" spans="1:15" s="254" customFormat="1" ht="26.25" customHeight="1">
      <c r="A8" s="234"/>
      <c r="B8" s="235" t="s">
        <v>68</v>
      </c>
      <c r="C8" s="236">
        <f t="shared" ref="C8" si="0">C9+C14+C17</f>
        <v>18513823</v>
      </c>
      <c r="D8" s="236">
        <f t="shared" ref="D8:L8" si="1">D9+D14+D17</f>
        <v>18180347</v>
      </c>
      <c r="E8" s="236">
        <f t="shared" si="1"/>
        <v>2622878</v>
      </c>
      <c r="F8" s="236">
        <f t="shared" si="1"/>
        <v>3525813</v>
      </c>
      <c r="G8" s="236">
        <f t="shared" si="1"/>
        <v>4764465</v>
      </c>
      <c r="H8" s="236">
        <f t="shared" si="1"/>
        <v>4070513</v>
      </c>
      <c r="I8" s="236">
        <f t="shared" si="1"/>
        <v>3196678</v>
      </c>
      <c r="J8" s="236">
        <f t="shared" si="1"/>
        <v>221246</v>
      </c>
      <c r="K8" s="236">
        <f t="shared" si="1"/>
        <v>269049</v>
      </c>
      <c r="L8" s="236">
        <f t="shared" si="1"/>
        <v>18466020</v>
      </c>
      <c r="M8" s="237"/>
      <c r="N8" s="253">
        <f>K8-J8</f>
        <v>47803</v>
      </c>
    </row>
    <row r="9" spans="1:15" s="254" customFormat="1">
      <c r="A9" s="234" t="s">
        <v>33</v>
      </c>
      <c r="B9" s="238" t="s">
        <v>69</v>
      </c>
      <c r="C9" s="239">
        <f t="shared" ref="C9" si="2">SUM(C10:C13)</f>
        <v>5330795</v>
      </c>
      <c r="D9" s="239">
        <f t="shared" ref="D9:L9" si="3">SUM(D10:D13)</f>
        <v>5282992</v>
      </c>
      <c r="E9" s="239">
        <f t="shared" si="3"/>
        <v>887080</v>
      </c>
      <c r="F9" s="239">
        <f t="shared" si="3"/>
        <v>794421</v>
      </c>
      <c r="G9" s="239">
        <f t="shared" si="3"/>
        <v>1299619</v>
      </c>
      <c r="H9" s="239">
        <f t="shared" si="3"/>
        <v>1313872</v>
      </c>
      <c r="I9" s="239">
        <f t="shared" si="3"/>
        <v>988000</v>
      </c>
      <c r="J9" s="239">
        <f t="shared" si="3"/>
        <v>221246</v>
      </c>
      <c r="K9" s="239">
        <f t="shared" si="3"/>
        <v>269049</v>
      </c>
      <c r="L9" s="239">
        <f t="shared" si="3"/>
        <v>5282992</v>
      </c>
      <c r="M9" s="240"/>
    </row>
    <row r="10" spans="1:15" ht="36.75" customHeight="1">
      <c r="A10" s="241">
        <v>1</v>
      </c>
      <c r="B10" s="242" t="s">
        <v>70</v>
      </c>
      <c r="C10" s="243">
        <v>3734700</v>
      </c>
      <c r="D10" s="244">
        <f>SUM(E10:I10)</f>
        <v>3468651</v>
      </c>
      <c r="E10" s="244">
        <v>662530</v>
      </c>
      <c r="F10" s="244">
        <v>662530</v>
      </c>
      <c r="G10" s="244">
        <v>696319</v>
      </c>
      <c r="H10" s="244">
        <v>716472</v>
      </c>
      <c r="I10" s="244">
        <v>730800</v>
      </c>
      <c r="J10" s="244"/>
      <c r="K10" s="244">
        <f>C10-D10</f>
        <v>266049</v>
      </c>
      <c r="L10" s="244">
        <v>3468651</v>
      </c>
      <c r="M10" s="245"/>
      <c r="O10" s="255"/>
    </row>
    <row r="11" spans="1:15" ht="21" customHeight="1">
      <c r="A11" s="241">
        <v>2</v>
      </c>
      <c r="B11" s="242" t="s">
        <v>71</v>
      </c>
      <c r="C11" s="243">
        <v>1426995</v>
      </c>
      <c r="D11" s="244">
        <f t="shared" ref="D11:D22" si="4">SUM(E11:I11)</f>
        <v>1435141</v>
      </c>
      <c r="E11" s="244">
        <f>166225+27225</f>
        <v>193450</v>
      </c>
      <c r="F11" s="244">
        <v>71691</v>
      </c>
      <c r="G11" s="244">
        <v>500000</v>
      </c>
      <c r="H11" s="244">
        <v>500000</v>
      </c>
      <c r="I11" s="244">
        <v>170000</v>
      </c>
      <c r="J11" s="244">
        <v>8146</v>
      </c>
      <c r="K11" s="244"/>
      <c r="L11" s="244">
        <v>1435141</v>
      </c>
      <c r="M11" s="246"/>
    </row>
    <row r="12" spans="1:15" ht="21" customHeight="1">
      <c r="A12" s="241">
        <v>3</v>
      </c>
      <c r="B12" s="242" t="s">
        <v>72</v>
      </c>
      <c r="C12" s="243">
        <v>168000</v>
      </c>
      <c r="D12" s="244">
        <f t="shared" si="4"/>
        <v>165000</v>
      </c>
      <c r="E12" s="244">
        <v>30000</v>
      </c>
      <c r="F12" s="244">
        <v>36000</v>
      </c>
      <c r="G12" s="244">
        <v>35000</v>
      </c>
      <c r="H12" s="244">
        <v>32000</v>
      </c>
      <c r="I12" s="244">
        <v>32000</v>
      </c>
      <c r="J12" s="244"/>
      <c r="K12" s="244">
        <f>C12-D12</f>
        <v>3000</v>
      </c>
      <c r="L12" s="244">
        <v>165000</v>
      </c>
      <c r="M12" s="245"/>
    </row>
    <row r="13" spans="1:15" ht="21" customHeight="1">
      <c r="A13" s="241">
        <v>4</v>
      </c>
      <c r="B13" s="242" t="s">
        <v>73</v>
      </c>
      <c r="C13" s="243">
        <v>1100</v>
      </c>
      <c r="D13" s="244">
        <f t="shared" si="4"/>
        <v>214200</v>
      </c>
      <c r="E13" s="244">
        <v>1100</v>
      </c>
      <c r="F13" s="244">
        <v>24200</v>
      </c>
      <c r="G13" s="244">
        <v>68300</v>
      </c>
      <c r="H13" s="244">
        <v>65400</v>
      </c>
      <c r="I13" s="244">
        <v>55200</v>
      </c>
      <c r="J13" s="244">
        <f>D13-C13</f>
        <v>213100</v>
      </c>
      <c r="K13" s="244"/>
      <c r="L13" s="244">
        <v>214200</v>
      </c>
      <c r="M13" s="245"/>
    </row>
    <row r="14" spans="1:15" s="254" customFormat="1" ht="22.5" customHeight="1">
      <c r="A14" s="234" t="s">
        <v>34</v>
      </c>
      <c r="B14" s="247" t="s">
        <v>74</v>
      </c>
      <c r="C14" s="239">
        <f t="shared" ref="C14:L14" si="5">SUM(C15:C16)</f>
        <v>8361631</v>
      </c>
      <c r="D14" s="239">
        <f t="shared" si="5"/>
        <v>8235008</v>
      </c>
      <c r="E14" s="239">
        <f t="shared" si="5"/>
        <v>1735798</v>
      </c>
      <c r="F14" s="239">
        <f t="shared" si="5"/>
        <v>1579396</v>
      </c>
      <c r="G14" s="239">
        <f t="shared" si="5"/>
        <v>2208294</v>
      </c>
      <c r="H14" s="239">
        <f t="shared" si="5"/>
        <v>1426320</v>
      </c>
      <c r="I14" s="239">
        <f t="shared" si="5"/>
        <v>1285200</v>
      </c>
      <c r="J14" s="239">
        <f t="shared" si="5"/>
        <v>0</v>
      </c>
      <c r="K14" s="239">
        <f t="shared" si="5"/>
        <v>0</v>
      </c>
      <c r="L14" s="239">
        <f t="shared" si="5"/>
        <v>8361631</v>
      </c>
      <c r="M14" s="248"/>
    </row>
    <row r="15" spans="1:15" ht="41.25" customHeight="1">
      <c r="A15" s="241">
        <v>1</v>
      </c>
      <c r="B15" s="242" t="s">
        <v>75</v>
      </c>
      <c r="C15" s="243">
        <f>6789720+186000+60000</f>
        <v>7035720</v>
      </c>
      <c r="D15" s="244">
        <f t="shared" si="4"/>
        <v>7481216</v>
      </c>
      <c r="E15" s="244">
        <v>1556626</v>
      </c>
      <c r="F15" s="244">
        <v>1494876</v>
      </c>
      <c r="G15" s="244">
        <f>1843900+60000</f>
        <v>1903900</v>
      </c>
      <c r="H15" s="244">
        <v>1326320</v>
      </c>
      <c r="I15" s="244">
        <v>1199494</v>
      </c>
      <c r="J15" s="244"/>
      <c r="K15" s="244"/>
      <c r="L15" s="243">
        <f>6789720+186000+60000</f>
        <v>7035720</v>
      </c>
      <c r="M15" s="245"/>
    </row>
    <row r="16" spans="1:15" ht="24" customHeight="1">
      <c r="A16" s="241">
        <v>2</v>
      </c>
      <c r="B16" s="242" t="s">
        <v>61</v>
      </c>
      <c r="C16" s="243">
        <f>805160+8075+512676</f>
        <v>1325911</v>
      </c>
      <c r="D16" s="244">
        <f t="shared" si="4"/>
        <v>753792</v>
      </c>
      <c r="E16" s="244">
        <v>179172</v>
      </c>
      <c r="F16" s="244">
        <v>84520</v>
      </c>
      <c r="G16" s="244">
        <v>304394</v>
      </c>
      <c r="H16" s="244">
        <v>100000</v>
      </c>
      <c r="I16" s="244">
        <v>85706</v>
      </c>
      <c r="J16" s="244"/>
      <c r="K16" s="244"/>
      <c r="L16" s="243">
        <f>805160+8075+512676</f>
        <v>1325911</v>
      </c>
      <c r="M16" s="245"/>
    </row>
    <row r="17" spans="1:15" s="254" customFormat="1" ht="24" customHeight="1">
      <c r="A17" s="234" t="s">
        <v>66</v>
      </c>
      <c r="B17" s="247" t="s">
        <v>76</v>
      </c>
      <c r="C17" s="239">
        <f t="shared" ref="C17:L17" si="6">C18+C19+C20</f>
        <v>4821397</v>
      </c>
      <c r="D17" s="239">
        <f t="shared" si="6"/>
        <v>4662347</v>
      </c>
      <c r="E17" s="239">
        <f t="shared" si="6"/>
        <v>0</v>
      </c>
      <c r="F17" s="239">
        <f t="shared" si="6"/>
        <v>1151996</v>
      </c>
      <c r="G17" s="239">
        <f t="shared" si="6"/>
        <v>1256552</v>
      </c>
      <c r="H17" s="239">
        <f t="shared" si="6"/>
        <v>1330321</v>
      </c>
      <c r="I17" s="239">
        <f t="shared" si="6"/>
        <v>923478</v>
      </c>
      <c r="J17" s="239">
        <f t="shared" si="6"/>
        <v>0</v>
      </c>
      <c r="K17" s="239">
        <f t="shared" si="6"/>
        <v>0</v>
      </c>
      <c r="L17" s="239">
        <f t="shared" si="6"/>
        <v>4821397</v>
      </c>
      <c r="M17" s="248"/>
    </row>
    <row r="18" spans="1:15" ht="57" customHeight="1">
      <c r="A18" s="241">
        <v>1</v>
      </c>
      <c r="B18" s="242" t="s">
        <v>65</v>
      </c>
      <c r="C18" s="243">
        <f>2530902+20023</f>
        <v>2550925</v>
      </c>
      <c r="D18" s="244">
        <f t="shared" si="4"/>
        <v>2391875</v>
      </c>
      <c r="E18" s="244"/>
      <c r="F18" s="244">
        <v>477821</v>
      </c>
      <c r="G18" s="244">
        <v>632564</v>
      </c>
      <c r="H18" s="244">
        <v>729900</v>
      </c>
      <c r="I18" s="244">
        <v>551590</v>
      </c>
      <c r="J18" s="244"/>
      <c r="K18" s="244"/>
      <c r="L18" s="243">
        <f>2530902+20023</f>
        <v>2550925</v>
      </c>
      <c r="M18" s="245"/>
      <c r="O18" s="255"/>
    </row>
    <row r="19" spans="1:15" ht="39" customHeight="1">
      <c r="A19" s="241">
        <v>2</v>
      </c>
      <c r="B19" s="242" t="s">
        <v>77</v>
      </c>
      <c r="C19" s="243">
        <f>1434515+171489</f>
        <v>1606004</v>
      </c>
      <c r="D19" s="244">
        <f t="shared" si="4"/>
        <v>1606004</v>
      </c>
      <c r="E19" s="244"/>
      <c r="F19" s="244">
        <v>486705</v>
      </c>
      <c r="G19" s="244">
        <v>435974</v>
      </c>
      <c r="H19" s="244">
        <v>433909</v>
      </c>
      <c r="I19" s="244">
        <v>249416</v>
      </c>
      <c r="J19" s="244"/>
      <c r="K19" s="244"/>
      <c r="L19" s="243">
        <f>1434515+171489</f>
        <v>1606004</v>
      </c>
      <c r="M19" s="245"/>
      <c r="O19" s="255"/>
    </row>
    <row r="20" spans="1:15" ht="57" customHeight="1">
      <c r="A20" s="241">
        <v>3</v>
      </c>
      <c r="B20" s="242" t="s">
        <v>78</v>
      </c>
      <c r="C20" s="243">
        <f t="shared" ref="C20:I20" si="7">C21+C22</f>
        <v>664468</v>
      </c>
      <c r="D20" s="244">
        <f t="shared" si="4"/>
        <v>664468</v>
      </c>
      <c r="E20" s="244"/>
      <c r="F20" s="244">
        <f t="shared" si="7"/>
        <v>187470</v>
      </c>
      <c r="G20" s="244">
        <f t="shared" si="7"/>
        <v>188014</v>
      </c>
      <c r="H20" s="244">
        <f t="shared" si="7"/>
        <v>166512</v>
      </c>
      <c r="I20" s="244">
        <f t="shared" si="7"/>
        <v>122472</v>
      </c>
      <c r="J20" s="244"/>
      <c r="K20" s="244"/>
      <c r="L20" s="243">
        <f t="shared" ref="L20" si="8">L21+L22</f>
        <v>664468</v>
      </c>
      <c r="M20" s="245"/>
    </row>
    <row r="21" spans="1:15" ht="21" customHeight="1">
      <c r="A21" s="241"/>
      <c r="B21" s="242" t="s">
        <v>870</v>
      </c>
      <c r="C21" s="243">
        <f>373420+131180</f>
        <v>504600</v>
      </c>
      <c r="D21" s="244">
        <f t="shared" si="4"/>
        <v>504600</v>
      </c>
      <c r="E21" s="244"/>
      <c r="F21" s="244">
        <v>187470</v>
      </c>
      <c r="G21" s="244">
        <v>108080</v>
      </c>
      <c r="H21" s="244">
        <v>102565</v>
      </c>
      <c r="I21" s="244">
        <v>106485</v>
      </c>
      <c r="J21" s="249"/>
      <c r="K21" s="249"/>
      <c r="L21" s="243">
        <f>373420+131180</f>
        <v>504600</v>
      </c>
      <c r="M21" s="245"/>
      <c r="O21" s="255"/>
    </row>
    <row r="22" spans="1:15" ht="21" customHeight="1">
      <c r="A22" s="241"/>
      <c r="B22" s="242" t="s">
        <v>871</v>
      </c>
      <c r="C22" s="243">
        <v>159868</v>
      </c>
      <c r="D22" s="244">
        <f t="shared" si="4"/>
        <v>159868</v>
      </c>
      <c r="E22" s="244"/>
      <c r="F22" s="244"/>
      <c r="G22" s="244">
        <v>79934</v>
      </c>
      <c r="H22" s="244">
        <v>63947</v>
      </c>
      <c r="I22" s="244">
        <v>15987</v>
      </c>
      <c r="J22" s="249"/>
      <c r="K22" s="249"/>
      <c r="L22" s="243">
        <v>159868</v>
      </c>
      <c r="M22" s="245"/>
      <c r="O22" s="255"/>
    </row>
  </sheetData>
  <mergeCells count="11">
    <mergeCell ref="A1:M1"/>
    <mergeCell ref="A2:M2"/>
    <mergeCell ref="A3:M3"/>
    <mergeCell ref="A4:M4"/>
    <mergeCell ref="D5:I5"/>
    <mergeCell ref="M5:M6"/>
    <mergeCell ref="J5:K5"/>
    <mergeCell ref="L5:L6"/>
    <mergeCell ref="C5:C6"/>
    <mergeCell ref="A5:A6"/>
    <mergeCell ref="B5:B6"/>
  </mergeCells>
  <pageMargins left="0.7" right="0.7" top="0.75" bottom="0.75" header="0.3" footer="0.3"/>
  <pageSetup paperSize="9" scale="59" fitToHeight="0" orientation="landscape" r:id="rId1"/>
  <ignoredErrors>
    <ignoredError sqref="D14 D17" formula="1"/>
  </ignoredErrors>
</worksheet>
</file>

<file path=xl/worksheets/sheet10.xml><?xml version="1.0" encoding="utf-8"?>
<worksheet xmlns="http://schemas.openxmlformats.org/spreadsheetml/2006/main" xmlns:r="http://schemas.openxmlformats.org/officeDocument/2006/relationships">
  <sheetPr>
    <tabColor rgb="FFFF0000"/>
  </sheetPr>
  <dimension ref="A1:F45"/>
  <sheetViews>
    <sheetView workbookViewId="0">
      <selection activeCell="N12" sqref="N12"/>
    </sheetView>
  </sheetViews>
  <sheetFormatPr defaultRowHeight="14.25"/>
  <cols>
    <col min="4" max="4" width="32.265625" customWidth="1"/>
  </cols>
  <sheetData>
    <row r="1" spans="1:6">
      <c r="A1" t="s">
        <v>264</v>
      </c>
      <c r="B1">
        <v>47</v>
      </c>
      <c r="D1" t="s">
        <v>672</v>
      </c>
      <c r="E1">
        <v>13</v>
      </c>
    </row>
    <row r="2" spans="1:6">
      <c r="D2" t="s">
        <v>674</v>
      </c>
      <c r="E2">
        <v>8</v>
      </c>
    </row>
    <row r="3" spans="1:6">
      <c r="A3" t="s">
        <v>265</v>
      </c>
      <c r="B3">
        <v>2.2999999999999998</v>
      </c>
      <c r="D3" t="s">
        <v>676</v>
      </c>
      <c r="E3">
        <v>9</v>
      </c>
    </row>
    <row r="4" spans="1:6">
      <c r="A4" t="s">
        <v>266</v>
      </c>
      <c r="B4">
        <v>17.32</v>
      </c>
      <c r="D4" t="s">
        <v>678</v>
      </c>
      <c r="E4">
        <v>12</v>
      </c>
    </row>
    <row r="5" spans="1:6">
      <c r="A5" t="s">
        <v>267</v>
      </c>
      <c r="B5">
        <v>1.1000000000000001</v>
      </c>
      <c r="D5" t="s">
        <v>680</v>
      </c>
      <c r="E5">
        <v>12</v>
      </c>
    </row>
    <row r="6" spans="1:6">
      <c r="A6" t="s">
        <v>268</v>
      </c>
      <c r="B6">
        <v>29</v>
      </c>
      <c r="D6" t="s">
        <v>682</v>
      </c>
      <c r="E6">
        <v>12</v>
      </c>
    </row>
    <row r="7" spans="1:6">
      <c r="A7" t="s">
        <v>269</v>
      </c>
      <c r="B7">
        <v>50</v>
      </c>
      <c r="D7" t="s">
        <v>684</v>
      </c>
      <c r="E7">
        <v>10</v>
      </c>
    </row>
    <row r="8" spans="1:6">
      <c r="A8" t="s">
        <v>270</v>
      </c>
      <c r="B8">
        <v>15.97</v>
      </c>
      <c r="D8" t="s">
        <v>674</v>
      </c>
      <c r="E8">
        <v>8</v>
      </c>
    </row>
    <row r="9" spans="1:6">
      <c r="A9" t="s">
        <v>271</v>
      </c>
      <c r="B9">
        <v>32</v>
      </c>
      <c r="D9" t="s">
        <v>687</v>
      </c>
    </row>
    <row r="10" spans="1:6">
      <c r="A10" t="s">
        <v>272</v>
      </c>
      <c r="B10">
        <v>25.338000000000001</v>
      </c>
      <c r="D10" t="s">
        <v>689</v>
      </c>
    </row>
    <row r="11" spans="1:6">
      <c r="A11" t="s">
        <v>273</v>
      </c>
      <c r="B11">
        <v>21.381</v>
      </c>
      <c r="D11" t="s">
        <v>691</v>
      </c>
      <c r="E11">
        <v>8</v>
      </c>
    </row>
    <row r="12" spans="1:6">
      <c r="A12" t="s">
        <v>274</v>
      </c>
      <c r="B12">
        <v>30</v>
      </c>
      <c r="D12" t="s">
        <v>693</v>
      </c>
      <c r="E12">
        <v>18</v>
      </c>
    </row>
    <row r="13" spans="1:6">
      <c r="D13" t="s">
        <v>695</v>
      </c>
      <c r="E13">
        <v>10</v>
      </c>
      <c r="F13">
        <v>21</v>
      </c>
    </row>
    <row r="14" spans="1:6">
      <c r="D14" t="s">
        <v>697</v>
      </c>
      <c r="E14">
        <v>5</v>
      </c>
      <c r="F14">
        <v>12</v>
      </c>
    </row>
    <row r="15" spans="1:6">
      <c r="A15" t="s">
        <v>275</v>
      </c>
      <c r="B15">
        <v>35.35</v>
      </c>
      <c r="D15" t="s">
        <v>699</v>
      </c>
      <c r="E15">
        <v>17</v>
      </c>
    </row>
    <row r="16" spans="1:6">
      <c r="A16" t="s">
        <v>276</v>
      </c>
      <c r="B16">
        <v>30.8</v>
      </c>
      <c r="D16" t="s">
        <v>701</v>
      </c>
      <c r="E16">
        <v>10</v>
      </c>
      <c r="F16">
        <v>40</v>
      </c>
    </row>
    <row r="17" spans="1:6">
      <c r="A17" t="s">
        <v>277</v>
      </c>
      <c r="B17">
        <v>52.83</v>
      </c>
      <c r="D17" t="s">
        <v>704</v>
      </c>
      <c r="E17">
        <v>10</v>
      </c>
      <c r="F17">
        <v>14</v>
      </c>
    </row>
    <row r="18" spans="1:6">
      <c r="A18" t="s">
        <v>278</v>
      </c>
      <c r="B18">
        <v>12.05</v>
      </c>
    </row>
    <row r="19" spans="1:6">
      <c r="A19" t="s">
        <v>279</v>
      </c>
      <c r="B19">
        <v>28</v>
      </c>
    </row>
    <row r="20" spans="1:6">
      <c r="A20" t="s">
        <v>280</v>
      </c>
      <c r="B20">
        <v>21.5</v>
      </c>
    </row>
    <row r="21" spans="1:6">
      <c r="A21" t="s">
        <v>281</v>
      </c>
      <c r="B21">
        <v>12.3</v>
      </c>
    </row>
    <row r="22" spans="1:6">
      <c r="A22" t="s">
        <v>282</v>
      </c>
      <c r="B22">
        <v>18</v>
      </c>
    </row>
    <row r="23" spans="1:6">
      <c r="A23" t="s">
        <v>283</v>
      </c>
      <c r="B23">
        <v>13.8</v>
      </c>
    </row>
    <row r="25" spans="1:6">
      <c r="A25" t="s">
        <v>284</v>
      </c>
      <c r="B25">
        <v>6.5</v>
      </c>
    </row>
    <row r="26" spans="1:6">
      <c r="A26" t="s">
        <v>285</v>
      </c>
      <c r="B26">
        <v>26.4</v>
      </c>
    </row>
    <row r="27" spans="1:6">
      <c r="A27" t="s">
        <v>286</v>
      </c>
      <c r="B27">
        <v>18.600000000000001</v>
      </c>
    </row>
    <row r="28" spans="1:6">
      <c r="A28" t="s">
        <v>267</v>
      </c>
      <c r="B28">
        <v>1.1000000000000001</v>
      </c>
    </row>
    <row r="29" spans="1:6">
      <c r="A29" t="s">
        <v>743</v>
      </c>
      <c r="B29">
        <v>1.84</v>
      </c>
    </row>
    <row r="35" spans="1:2">
      <c r="A35" t="s">
        <v>275</v>
      </c>
      <c r="B35">
        <v>35.35</v>
      </c>
    </row>
    <row r="36" spans="1:2">
      <c r="A36" t="s">
        <v>745</v>
      </c>
      <c r="B36">
        <v>1.63</v>
      </c>
    </row>
    <row r="37" spans="1:2">
      <c r="A37" t="s">
        <v>747</v>
      </c>
      <c r="B37">
        <v>9.8000000000000007</v>
      </c>
    </row>
    <row r="38" spans="1:2">
      <c r="A38" t="s">
        <v>749</v>
      </c>
      <c r="B38">
        <v>4.5999999999999996</v>
      </c>
    </row>
    <row r="39" spans="1:2">
      <c r="A39" t="s">
        <v>751</v>
      </c>
      <c r="B39">
        <v>4.4000000000000004</v>
      </c>
    </row>
    <row r="40" spans="1:2">
      <c r="A40" t="s">
        <v>753</v>
      </c>
      <c r="B40">
        <v>3.1</v>
      </c>
    </row>
    <row r="41" spans="1:2">
      <c r="A41" t="s">
        <v>755</v>
      </c>
      <c r="B41">
        <v>3.4</v>
      </c>
    </row>
    <row r="42" spans="1:2">
      <c r="A42" t="s">
        <v>757</v>
      </c>
      <c r="B42">
        <v>3</v>
      </c>
    </row>
    <row r="43" spans="1:2">
      <c r="A43" t="s">
        <v>759</v>
      </c>
      <c r="B43">
        <v>5</v>
      </c>
    </row>
    <row r="44" spans="1:2">
      <c r="A44" t="s">
        <v>761</v>
      </c>
      <c r="B44">
        <v>4</v>
      </c>
    </row>
    <row r="45" spans="1:2">
      <c r="B45">
        <f>SUM(B1:B44)</f>
        <v>624.75900000000013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AI392"/>
  <sheetViews>
    <sheetView showZeros="0" view="pageBreakPreview" zoomScale="69" zoomScaleNormal="60" zoomScaleSheetLayoutView="69" workbookViewId="0">
      <pane xSplit="7" ySplit="11" topLeftCell="H379" activePane="bottomRight" state="frozen"/>
      <selection pane="topRight" activeCell="H1" sqref="H1"/>
      <selection pane="bottomLeft" activeCell="A12" sqref="A12"/>
      <selection pane="bottomRight" activeCell="B389" sqref="B389"/>
    </sheetView>
  </sheetViews>
  <sheetFormatPr defaultColWidth="9.1328125" defaultRowHeight="15.4"/>
  <cols>
    <col min="1" max="1" width="6.86328125" style="319" customWidth="1"/>
    <col min="2" max="2" width="44.86328125" style="258" customWidth="1"/>
    <col min="3" max="3" width="9.86328125" style="257" hidden="1" customWidth="1"/>
    <col min="4" max="6" width="0" style="258" hidden="1" customWidth="1"/>
    <col min="7" max="7" width="11.73046875" style="258" hidden="1" customWidth="1"/>
    <col min="8" max="8" width="16.3984375" style="258" customWidth="1"/>
    <col min="9" max="11" width="15.59765625" style="258" customWidth="1"/>
    <col min="12" max="12" width="13" style="258" customWidth="1"/>
    <col min="13" max="13" width="13.86328125" style="258" customWidth="1"/>
    <col min="14" max="14" width="12.3984375" style="258" customWidth="1"/>
    <col min="15" max="15" width="13" style="258" customWidth="1"/>
    <col min="16" max="16" width="12.73046875" style="258" customWidth="1"/>
    <col min="17" max="17" width="13.265625" style="258" customWidth="1"/>
    <col min="18" max="18" width="14.1328125" style="258" customWidth="1"/>
    <col min="19" max="19" width="12.1328125" style="258" customWidth="1"/>
    <col min="20" max="22" width="14.265625" style="258" customWidth="1"/>
    <col min="23" max="23" width="27.1328125" style="319" customWidth="1"/>
    <col min="24" max="24" width="11.73046875" style="258" customWidth="1"/>
    <col min="25" max="28" width="0" style="257" hidden="1" customWidth="1"/>
    <col min="29" max="30" width="0" style="258" hidden="1" customWidth="1"/>
    <col min="31" max="31" width="9.1328125" style="258"/>
    <col min="32" max="32" width="13" style="258" customWidth="1"/>
    <col min="33" max="34" width="9.1328125" style="258"/>
    <col min="35" max="35" width="18.73046875" style="258" customWidth="1"/>
    <col min="36" max="16384" width="9.1328125" style="258"/>
  </cols>
  <sheetData>
    <row r="1" spans="1:29" s="256" customFormat="1">
      <c r="A1" s="670" t="s">
        <v>40</v>
      </c>
      <c r="B1" s="670"/>
      <c r="C1" s="670"/>
      <c r="D1" s="670"/>
      <c r="E1" s="670"/>
      <c r="F1" s="670"/>
      <c r="G1" s="670"/>
      <c r="H1" s="670"/>
      <c r="I1" s="670"/>
      <c r="J1" s="670"/>
      <c r="K1" s="670"/>
      <c r="L1" s="670"/>
      <c r="M1" s="670"/>
      <c r="N1" s="670"/>
      <c r="O1" s="670"/>
      <c r="P1" s="670"/>
      <c r="Q1" s="670"/>
      <c r="R1" s="670"/>
      <c r="S1" s="670"/>
      <c r="T1" s="670"/>
      <c r="U1" s="670"/>
      <c r="V1" s="670"/>
      <c r="W1" s="670"/>
      <c r="Y1" s="257"/>
      <c r="Z1" s="257"/>
      <c r="AA1" s="257"/>
      <c r="AB1" s="257"/>
    </row>
    <row r="2" spans="1:29" ht="33" customHeight="1">
      <c r="A2" s="672" t="s">
        <v>1250</v>
      </c>
      <c r="B2" s="673"/>
      <c r="C2" s="673"/>
      <c r="D2" s="673"/>
      <c r="E2" s="673"/>
      <c r="F2" s="673"/>
      <c r="G2" s="673"/>
      <c r="H2" s="673"/>
      <c r="I2" s="673"/>
      <c r="J2" s="673"/>
      <c r="K2" s="673"/>
      <c r="L2" s="673"/>
      <c r="M2" s="673"/>
      <c r="N2" s="673"/>
      <c r="O2" s="673"/>
      <c r="P2" s="673"/>
      <c r="Q2" s="673"/>
      <c r="R2" s="673"/>
      <c r="S2" s="673"/>
      <c r="T2" s="673"/>
      <c r="U2" s="673"/>
      <c r="V2" s="673"/>
      <c r="W2" s="673"/>
    </row>
    <row r="3" spans="1:29">
      <c r="A3" s="671" t="str">
        <f>'B1 TH 21-25'!A3:M3</f>
        <v>(Kèm theo Nghị quyết số                /NQ-HĐND ngày  28/4/2025 của Hội đồng nhân dân tỉnh)</v>
      </c>
      <c r="B3" s="671"/>
      <c r="C3" s="671"/>
      <c r="D3" s="671"/>
      <c r="E3" s="671"/>
      <c r="F3" s="671"/>
      <c r="G3" s="671"/>
      <c r="H3" s="671"/>
      <c r="I3" s="671"/>
      <c r="J3" s="671"/>
      <c r="K3" s="671"/>
      <c r="L3" s="671"/>
      <c r="M3" s="671"/>
      <c r="N3" s="671"/>
      <c r="O3" s="671"/>
      <c r="P3" s="671"/>
      <c r="Q3" s="671"/>
      <c r="R3" s="671"/>
      <c r="S3" s="671"/>
      <c r="T3" s="671"/>
      <c r="U3" s="671"/>
      <c r="V3" s="671"/>
      <c r="W3" s="671"/>
    </row>
    <row r="4" spans="1:29">
      <c r="A4" s="674" t="s">
        <v>30</v>
      </c>
      <c r="B4" s="674"/>
      <c r="C4" s="674"/>
      <c r="D4" s="674"/>
      <c r="E4" s="674"/>
      <c r="F4" s="674"/>
      <c r="G4" s="674"/>
      <c r="H4" s="674"/>
      <c r="I4" s="674"/>
      <c r="J4" s="674"/>
      <c r="K4" s="674"/>
      <c r="L4" s="674"/>
      <c r="M4" s="674"/>
      <c r="N4" s="674"/>
      <c r="O4" s="674"/>
      <c r="P4" s="674"/>
      <c r="Q4" s="674"/>
      <c r="R4" s="674"/>
      <c r="S4" s="674"/>
      <c r="T4" s="674"/>
      <c r="U4" s="674"/>
      <c r="V4" s="674"/>
      <c r="W4" s="674"/>
    </row>
    <row r="5" spans="1:29" ht="15.75" customHeight="1">
      <c r="A5" s="675" t="s">
        <v>0</v>
      </c>
      <c r="B5" s="675" t="s">
        <v>1</v>
      </c>
      <c r="C5" s="661" t="s">
        <v>82</v>
      </c>
      <c r="D5" s="675" t="s">
        <v>2</v>
      </c>
      <c r="E5" s="676" t="s">
        <v>3</v>
      </c>
      <c r="F5" s="677"/>
      <c r="G5" s="661" t="s">
        <v>4</v>
      </c>
      <c r="H5" s="675" t="s">
        <v>5</v>
      </c>
      <c r="I5" s="675"/>
      <c r="J5" s="675"/>
      <c r="K5" s="675" t="s">
        <v>6</v>
      </c>
      <c r="L5" s="675"/>
      <c r="M5" s="676" t="s">
        <v>1063</v>
      </c>
      <c r="N5" s="676" t="s">
        <v>1065</v>
      </c>
      <c r="O5" s="681"/>
      <c r="P5" s="681"/>
      <c r="Q5" s="681"/>
      <c r="R5" s="681"/>
      <c r="S5" s="681"/>
      <c r="T5" s="675" t="s">
        <v>1064</v>
      </c>
      <c r="U5" s="675"/>
      <c r="V5" s="661" t="s">
        <v>1066</v>
      </c>
      <c r="W5" s="675" t="s">
        <v>13</v>
      </c>
      <c r="Y5" s="664" t="s">
        <v>111</v>
      </c>
      <c r="Z5" s="665"/>
      <c r="AA5" s="665"/>
      <c r="AB5" s="666"/>
    </row>
    <row r="6" spans="1:29" ht="36.75" customHeight="1">
      <c r="A6" s="675"/>
      <c r="B6" s="675"/>
      <c r="C6" s="662"/>
      <c r="D6" s="675"/>
      <c r="E6" s="678"/>
      <c r="F6" s="679"/>
      <c r="G6" s="662"/>
      <c r="H6" s="675"/>
      <c r="I6" s="675"/>
      <c r="J6" s="675"/>
      <c r="K6" s="675"/>
      <c r="L6" s="675"/>
      <c r="M6" s="680"/>
      <c r="N6" s="678"/>
      <c r="O6" s="682"/>
      <c r="P6" s="682"/>
      <c r="Q6" s="682"/>
      <c r="R6" s="682"/>
      <c r="S6" s="682"/>
      <c r="T6" s="675"/>
      <c r="U6" s="675"/>
      <c r="V6" s="662"/>
      <c r="W6" s="675"/>
      <c r="Y6" s="667" t="s">
        <v>113</v>
      </c>
      <c r="Z6" s="667" t="s">
        <v>112</v>
      </c>
      <c r="AA6" s="667" t="s">
        <v>114</v>
      </c>
      <c r="AB6" s="667" t="s">
        <v>115</v>
      </c>
    </row>
    <row r="7" spans="1:29" ht="15.75" customHeight="1">
      <c r="A7" s="675"/>
      <c r="B7" s="675"/>
      <c r="C7" s="662"/>
      <c r="D7" s="675"/>
      <c r="E7" s="661" t="s">
        <v>14</v>
      </c>
      <c r="F7" s="661" t="s">
        <v>15</v>
      </c>
      <c r="G7" s="662"/>
      <c r="H7" s="675" t="s">
        <v>16</v>
      </c>
      <c r="I7" s="675" t="s">
        <v>17</v>
      </c>
      <c r="J7" s="675"/>
      <c r="K7" s="675" t="s">
        <v>18</v>
      </c>
      <c r="L7" s="675" t="s">
        <v>19</v>
      </c>
      <c r="M7" s="680"/>
      <c r="N7" s="661" t="s">
        <v>22</v>
      </c>
      <c r="O7" s="661" t="s">
        <v>8</v>
      </c>
      <c r="P7" s="661" t="s">
        <v>9</v>
      </c>
      <c r="Q7" s="661" t="s">
        <v>10</v>
      </c>
      <c r="R7" s="661" t="s">
        <v>11</v>
      </c>
      <c r="S7" s="661" t="s">
        <v>1072</v>
      </c>
      <c r="T7" s="661" t="s">
        <v>1060</v>
      </c>
      <c r="U7" s="661" t="s">
        <v>1061</v>
      </c>
      <c r="V7" s="662"/>
      <c r="W7" s="675"/>
      <c r="Y7" s="668"/>
      <c r="Z7" s="668"/>
      <c r="AA7" s="668"/>
      <c r="AB7" s="668"/>
    </row>
    <row r="8" spans="1:29" ht="15.75" customHeight="1">
      <c r="A8" s="675"/>
      <c r="B8" s="675"/>
      <c r="C8" s="662"/>
      <c r="D8" s="675"/>
      <c r="E8" s="662"/>
      <c r="F8" s="662"/>
      <c r="G8" s="662"/>
      <c r="H8" s="675"/>
      <c r="I8" s="675" t="s">
        <v>18</v>
      </c>
      <c r="J8" s="675" t="s">
        <v>19</v>
      </c>
      <c r="K8" s="675"/>
      <c r="L8" s="675"/>
      <c r="M8" s="680"/>
      <c r="N8" s="662"/>
      <c r="O8" s="662"/>
      <c r="P8" s="662"/>
      <c r="Q8" s="662"/>
      <c r="R8" s="662"/>
      <c r="S8" s="662"/>
      <c r="T8" s="662"/>
      <c r="U8" s="662"/>
      <c r="V8" s="662"/>
      <c r="W8" s="675"/>
      <c r="Y8" s="668"/>
      <c r="Z8" s="668"/>
      <c r="AA8" s="668"/>
      <c r="AB8" s="668"/>
    </row>
    <row r="9" spans="1:29" ht="15.75" customHeight="1">
      <c r="A9" s="675"/>
      <c r="B9" s="675"/>
      <c r="C9" s="662"/>
      <c r="D9" s="675"/>
      <c r="E9" s="662"/>
      <c r="F9" s="662"/>
      <c r="G9" s="662"/>
      <c r="H9" s="675"/>
      <c r="I9" s="675"/>
      <c r="J9" s="675"/>
      <c r="K9" s="675"/>
      <c r="L9" s="675"/>
      <c r="M9" s="680"/>
      <c r="N9" s="662"/>
      <c r="O9" s="662"/>
      <c r="P9" s="662"/>
      <c r="Q9" s="662"/>
      <c r="R9" s="662"/>
      <c r="S9" s="662"/>
      <c r="T9" s="662"/>
      <c r="U9" s="662"/>
      <c r="V9" s="662"/>
      <c r="W9" s="675"/>
      <c r="Y9" s="668"/>
      <c r="Z9" s="668"/>
      <c r="AA9" s="668"/>
      <c r="AB9" s="668"/>
    </row>
    <row r="10" spans="1:29">
      <c r="A10" s="675"/>
      <c r="B10" s="675"/>
      <c r="C10" s="662"/>
      <c r="D10" s="675"/>
      <c r="E10" s="662"/>
      <c r="F10" s="662"/>
      <c r="G10" s="662"/>
      <c r="H10" s="675"/>
      <c r="I10" s="675"/>
      <c r="J10" s="675"/>
      <c r="K10" s="675"/>
      <c r="L10" s="675"/>
      <c r="M10" s="680"/>
      <c r="N10" s="662"/>
      <c r="O10" s="662"/>
      <c r="P10" s="662"/>
      <c r="Q10" s="662"/>
      <c r="R10" s="662"/>
      <c r="S10" s="662"/>
      <c r="T10" s="662"/>
      <c r="U10" s="662"/>
      <c r="V10" s="662"/>
      <c r="W10" s="675"/>
      <c r="Y10" s="669"/>
      <c r="Z10" s="669"/>
      <c r="AA10" s="669"/>
      <c r="AB10" s="669"/>
    </row>
    <row r="11" spans="1:29" ht="51.75" customHeight="1">
      <c r="A11" s="675"/>
      <c r="B11" s="675"/>
      <c r="C11" s="663"/>
      <c r="D11" s="675"/>
      <c r="E11" s="663"/>
      <c r="F11" s="663"/>
      <c r="G11" s="663"/>
      <c r="H11" s="675"/>
      <c r="I11" s="675"/>
      <c r="J11" s="675"/>
      <c r="K11" s="675"/>
      <c r="L11" s="675"/>
      <c r="M11" s="678"/>
      <c r="N11" s="663"/>
      <c r="O11" s="663"/>
      <c r="P11" s="663"/>
      <c r="Q11" s="663"/>
      <c r="R11" s="663"/>
      <c r="S11" s="663"/>
      <c r="T11" s="663"/>
      <c r="U11" s="663"/>
      <c r="V11" s="663"/>
      <c r="W11" s="675"/>
      <c r="Y11" s="259"/>
      <c r="Z11" s="259"/>
      <c r="AA11" s="259"/>
      <c r="AB11" s="259"/>
    </row>
    <row r="12" spans="1:29">
      <c r="A12" s="260">
        <v>1</v>
      </c>
      <c r="B12" s="260">
        <v>2</v>
      </c>
      <c r="C12" s="260">
        <v>3</v>
      </c>
      <c r="D12" s="260">
        <v>4</v>
      </c>
      <c r="E12" s="260">
        <v>5</v>
      </c>
      <c r="F12" s="260">
        <v>6</v>
      </c>
      <c r="G12" s="260">
        <v>7</v>
      </c>
      <c r="H12" s="260">
        <v>3</v>
      </c>
      <c r="I12" s="260">
        <v>4</v>
      </c>
      <c r="J12" s="260">
        <v>5</v>
      </c>
      <c r="K12" s="260">
        <v>6</v>
      </c>
      <c r="L12" s="260">
        <v>7</v>
      </c>
      <c r="M12" s="260">
        <v>8</v>
      </c>
      <c r="N12" s="260">
        <v>9</v>
      </c>
      <c r="O12" s="260">
        <v>10</v>
      </c>
      <c r="P12" s="260">
        <v>11</v>
      </c>
      <c r="Q12" s="260">
        <v>12</v>
      </c>
      <c r="R12" s="260">
        <v>13</v>
      </c>
      <c r="S12" s="260">
        <v>14</v>
      </c>
      <c r="T12" s="260">
        <v>15</v>
      </c>
      <c r="U12" s="260">
        <v>16</v>
      </c>
      <c r="V12" s="260">
        <v>17</v>
      </c>
      <c r="W12" s="260">
        <v>18</v>
      </c>
      <c r="Y12" s="259"/>
      <c r="Z12" s="259"/>
      <c r="AA12" s="259"/>
      <c r="AB12" s="259"/>
    </row>
    <row r="13" spans="1:29" s="268" customFormat="1">
      <c r="A13" s="261"/>
      <c r="B13" s="261" t="s">
        <v>68</v>
      </c>
      <c r="C13" s="262"/>
      <c r="D13" s="261"/>
      <c r="E13" s="261"/>
      <c r="F13" s="261"/>
      <c r="G13" s="261"/>
      <c r="H13" s="263"/>
      <c r="I13" s="264">
        <f t="shared" ref="I13:V13" si="0">I14+I46+I331+I389</f>
        <v>20226828.399999999</v>
      </c>
      <c r="J13" s="264">
        <f t="shared" si="0"/>
        <v>9274193.9000000004</v>
      </c>
      <c r="K13" s="264">
        <f t="shared" si="0"/>
        <v>3961420.8200000003</v>
      </c>
      <c r="L13" s="264">
        <f t="shared" si="0"/>
        <v>749234.82000000007</v>
      </c>
      <c r="M13" s="264">
        <f t="shared" si="0"/>
        <v>5330795.368999999</v>
      </c>
      <c r="N13" s="264">
        <f>N14+N46+N331+N389</f>
        <v>5282992.607715087</v>
      </c>
      <c r="O13" s="264">
        <f t="shared" si="0"/>
        <v>887080.1</v>
      </c>
      <c r="P13" s="264">
        <f t="shared" si="0"/>
        <v>794421.1</v>
      </c>
      <c r="Q13" s="264">
        <f t="shared" si="0"/>
        <v>1299619.1299999999</v>
      </c>
      <c r="R13" s="264">
        <f t="shared" si="0"/>
        <v>1313872.2777150865</v>
      </c>
      <c r="S13" s="264">
        <f t="shared" si="0"/>
        <v>988000</v>
      </c>
      <c r="T13" s="264">
        <f t="shared" si="0"/>
        <v>242650</v>
      </c>
      <c r="U13" s="264">
        <f t="shared" si="0"/>
        <v>290452.76128491317</v>
      </c>
      <c r="V13" s="264">
        <f t="shared" si="0"/>
        <v>5282991.607715087</v>
      </c>
      <c r="W13" s="267"/>
      <c r="X13" s="266">
        <f>U13-T13</f>
        <v>47802.761284913169</v>
      </c>
      <c r="Y13" s="267">
        <f>SUM(Y14:Y389)</f>
        <v>52</v>
      </c>
      <c r="Z13" s="267">
        <f>SUM(Z14:Z389)</f>
        <v>124</v>
      </c>
      <c r="AA13" s="267">
        <f>SUM(AA14:AA389)</f>
        <v>14</v>
      </c>
      <c r="AB13" s="267">
        <f>SUM(AB14:AB389)</f>
        <v>19</v>
      </c>
      <c r="AC13" s="268">
        <f>SUM(Y13:AB13)</f>
        <v>209</v>
      </c>
    </row>
    <row r="14" spans="1:29" s="268" customFormat="1" ht="50.25" customHeight="1">
      <c r="A14" s="269" t="s">
        <v>37</v>
      </c>
      <c r="B14" s="270" t="s">
        <v>1067</v>
      </c>
      <c r="C14" s="262"/>
      <c r="D14" s="261"/>
      <c r="E14" s="261"/>
      <c r="F14" s="261"/>
      <c r="G14" s="261"/>
      <c r="H14" s="263"/>
      <c r="I14" s="264">
        <f>I15+I20</f>
        <v>4499535</v>
      </c>
      <c r="J14" s="264">
        <f t="shared" ref="J14:V14" si="1">J15+J20</f>
        <v>3575256</v>
      </c>
      <c r="K14" s="264">
        <f t="shared" si="1"/>
        <v>510223</v>
      </c>
      <c r="L14" s="264">
        <f t="shared" si="1"/>
        <v>0</v>
      </c>
      <c r="M14" s="264">
        <f t="shared" si="1"/>
        <v>1399770</v>
      </c>
      <c r="N14" s="264">
        <f t="shared" si="1"/>
        <v>1407916</v>
      </c>
      <c r="O14" s="264">
        <f t="shared" si="1"/>
        <v>166225</v>
      </c>
      <c r="P14" s="264">
        <f t="shared" si="1"/>
        <v>71691</v>
      </c>
      <c r="Q14" s="264">
        <f t="shared" si="1"/>
        <v>500000</v>
      </c>
      <c r="R14" s="264">
        <f t="shared" si="1"/>
        <v>500000</v>
      </c>
      <c r="S14" s="264">
        <f t="shared" si="1"/>
        <v>170000</v>
      </c>
      <c r="T14" s="264">
        <f t="shared" si="1"/>
        <v>27146</v>
      </c>
      <c r="U14" s="264">
        <f t="shared" si="1"/>
        <v>19000</v>
      </c>
      <c r="V14" s="264">
        <f t="shared" si="1"/>
        <v>1407916</v>
      </c>
      <c r="W14" s="277"/>
      <c r="Y14" s="259"/>
      <c r="Z14" s="259"/>
      <c r="AA14" s="259"/>
      <c r="AB14" s="259"/>
      <c r="AC14" s="268" t="s">
        <v>79</v>
      </c>
    </row>
    <row r="15" spans="1:29" s="268" customFormat="1" ht="39.4" customHeight="1">
      <c r="A15" s="271" t="s">
        <v>408</v>
      </c>
      <c r="B15" s="272" t="s">
        <v>35</v>
      </c>
      <c r="C15" s="262"/>
      <c r="D15" s="261"/>
      <c r="E15" s="261"/>
      <c r="F15" s="261"/>
      <c r="G15" s="261"/>
      <c r="H15" s="263"/>
      <c r="I15" s="264">
        <f>SUM(I16:I19)</f>
        <v>2023000</v>
      </c>
      <c r="J15" s="264">
        <f t="shared" ref="J15:V15" si="2">SUM(J16:J19)</f>
        <v>1375721</v>
      </c>
      <c r="K15" s="264">
        <f t="shared" si="2"/>
        <v>510223</v>
      </c>
      <c r="L15" s="264">
        <f t="shared" si="2"/>
        <v>0</v>
      </c>
      <c r="M15" s="264">
        <f t="shared" si="2"/>
        <v>1137045</v>
      </c>
      <c r="N15" s="264">
        <f t="shared" si="2"/>
        <v>1137045</v>
      </c>
      <c r="O15" s="264">
        <f t="shared" si="2"/>
        <v>139000</v>
      </c>
      <c r="P15" s="264">
        <f t="shared" si="2"/>
        <v>71691</v>
      </c>
      <c r="Q15" s="264">
        <f t="shared" si="2"/>
        <v>442388</v>
      </c>
      <c r="R15" s="264">
        <f t="shared" si="2"/>
        <v>410083</v>
      </c>
      <c r="S15" s="264">
        <f t="shared" si="2"/>
        <v>73883</v>
      </c>
      <c r="T15" s="264">
        <f t="shared" si="2"/>
        <v>0</v>
      </c>
      <c r="U15" s="264">
        <f t="shared" si="2"/>
        <v>0</v>
      </c>
      <c r="V15" s="264">
        <f t="shared" si="2"/>
        <v>1137045</v>
      </c>
      <c r="W15" s="267"/>
      <c r="Y15" s="259"/>
      <c r="Z15" s="259"/>
      <c r="AA15" s="259"/>
      <c r="AB15" s="259"/>
    </row>
    <row r="16" spans="1:29" s="268" customFormat="1" ht="93.75" customHeight="1">
      <c r="A16" s="260">
        <v>1</v>
      </c>
      <c r="B16" s="273" t="s">
        <v>386</v>
      </c>
      <c r="C16" s="262" t="s">
        <v>38</v>
      </c>
      <c r="D16" s="260" t="s">
        <v>229</v>
      </c>
      <c r="E16" s="274">
        <v>2015</v>
      </c>
      <c r="F16" s="274">
        <v>2022</v>
      </c>
      <c r="G16" s="260"/>
      <c r="H16" s="275" t="s">
        <v>635</v>
      </c>
      <c r="I16" s="276">
        <v>550000</v>
      </c>
      <c r="J16" s="276">
        <v>90883</v>
      </c>
      <c r="K16" s="276">
        <v>288385</v>
      </c>
      <c r="L16" s="276"/>
      <c r="M16" s="276">
        <v>30883</v>
      </c>
      <c r="N16" s="276">
        <f>SUM(O16:S16)</f>
        <v>30883</v>
      </c>
      <c r="O16" s="276"/>
      <c r="P16" s="276"/>
      <c r="Q16" s="276">
        <v>20000</v>
      </c>
      <c r="R16" s="276"/>
      <c r="S16" s="276">
        <v>10883</v>
      </c>
      <c r="T16" s="276">
        <f>IF(V16&gt;M16,V16-M16,0)</f>
        <v>0</v>
      </c>
      <c r="U16" s="276">
        <f>IF(V16&lt;M16,M16-V16,0)</f>
        <v>0</v>
      </c>
      <c r="V16" s="276">
        <v>30883</v>
      </c>
      <c r="W16" s="267"/>
      <c r="X16" s="266"/>
      <c r="Y16" s="259">
        <v>1</v>
      </c>
      <c r="Z16" s="259"/>
      <c r="AA16" s="259"/>
      <c r="AB16" s="259"/>
    </row>
    <row r="17" spans="1:28" s="268" customFormat="1" ht="106.5" customHeight="1">
      <c r="A17" s="260">
        <v>2</v>
      </c>
      <c r="B17" s="273" t="s">
        <v>387</v>
      </c>
      <c r="C17" s="262" t="s">
        <v>38</v>
      </c>
      <c r="D17" s="260" t="s">
        <v>229</v>
      </c>
      <c r="E17" s="274">
        <v>2020</v>
      </c>
      <c r="F17" s="274">
        <v>2023</v>
      </c>
      <c r="G17" s="260"/>
      <c r="H17" s="275" t="s">
        <v>636</v>
      </c>
      <c r="I17" s="276">
        <v>1100000</v>
      </c>
      <c r="J17" s="276">
        <v>1100000</v>
      </c>
      <c r="K17" s="276">
        <v>100000</v>
      </c>
      <c r="L17" s="276"/>
      <c r="M17" s="276">
        <v>855000</v>
      </c>
      <c r="N17" s="276">
        <f t="shared" ref="N17:N85" si="3">SUM(O17:S17)</f>
        <v>855000</v>
      </c>
      <c r="O17" s="276">
        <v>139000</v>
      </c>
      <c r="P17" s="276"/>
      <c r="Q17" s="276">
        <v>366000</v>
      </c>
      <c r="R17" s="276">
        <v>350000</v>
      </c>
      <c r="S17" s="276"/>
      <c r="T17" s="276">
        <f t="shared" ref="T17:T90" si="4">IF(V17&gt;M17,V17-M17,0)</f>
        <v>0</v>
      </c>
      <c r="U17" s="276">
        <f t="shared" ref="U17:U90" si="5">IF(V17&lt;M17,M17-V17,0)</f>
        <v>0</v>
      </c>
      <c r="V17" s="276">
        <v>855000</v>
      </c>
      <c r="W17" s="267"/>
      <c r="X17" s="266"/>
      <c r="Y17" s="259">
        <v>1</v>
      </c>
      <c r="Z17" s="259"/>
      <c r="AA17" s="259"/>
      <c r="AB17" s="259"/>
    </row>
    <row r="18" spans="1:28" s="268" customFormat="1" ht="75.400000000000006" customHeight="1">
      <c r="A18" s="260">
        <v>3</v>
      </c>
      <c r="B18" s="273" t="s">
        <v>388</v>
      </c>
      <c r="C18" s="262" t="s">
        <v>38</v>
      </c>
      <c r="D18" s="260" t="s">
        <v>229</v>
      </c>
      <c r="E18" s="274">
        <v>2017</v>
      </c>
      <c r="F18" s="274">
        <v>2022</v>
      </c>
      <c r="G18" s="260"/>
      <c r="H18" s="275" t="s">
        <v>637</v>
      </c>
      <c r="I18" s="276">
        <v>310000</v>
      </c>
      <c r="J18" s="276">
        <v>121838</v>
      </c>
      <c r="K18" s="276">
        <v>121838</v>
      </c>
      <c r="L18" s="276"/>
      <c r="M18" s="276">
        <v>188162</v>
      </c>
      <c r="N18" s="276">
        <f t="shared" si="3"/>
        <v>188162</v>
      </c>
      <c r="O18" s="276"/>
      <c r="P18" s="276">
        <v>71691</v>
      </c>
      <c r="Q18" s="276">
        <v>56388</v>
      </c>
      <c r="R18" s="276">
        <v>60083</v>
      </c>
      <c r="S18" s="276"/>
      <c r="T18" s="276">
        <f t="shared" si="4"/>
        <v>0</v>
      </c>
      <c r="U18" s="276">
        <f t="shared" si="5"/>
        <v>0</v>
      </c>
      <c r="V18" s="276">
        <v>188162</v>
      </c>
      <c r="W18" s="267"/>
      <c r="X18" s="266"/>
      <c r="Y18" s="259">
        <v>1</v>
      </c>
      <c r="Z18" s="259"/>
      <c r="AA18" s="259"/>
      <c r="AB18" s="259"/>
    </row>
    <row r="19" spans="1:28" s="268" customFormat="1" ht="84.75" customHeight="1">
      <c r="A19" s="260">
        <v>4</v>
      </c>
      <c r="B19" s="273" t="s">
        <v>395</v>
      </c>
      <c r="C19" s="262" t="s">
        <v>38</v>
      </c>
      <c r="D19" s="260" t="s">
        <v>229</v>
      </c>
      <c r="E19" s="274">
        <v>2018</v>
      </c>
      <c r="F19" s="274">
        <v>2021</v>
      </c>
      <c r="G19" s="260"/>
      <c r="H19" s="275" t="s">
        <v>642</v>
      </c>
      <c r="I19" s="276">
        <v>63000</v>
      </c>
      <c r="J19" s="276">
        <v>63000</v>
      </c>
      <c r="K19" s="276"/>
      <c r="L19" s="276"/>
      <c r="M19" s="276">
        <v>63000</v>
      </c>
      <c r="N19" s="276">
        <f t="shared" si="3"/>
        <v>63000</v>
      </c>
      <c r="O19" s="276"/>
      <c r="P19" s="276"/>
      <c r="Q19" s="276"/>
      <c r="R19" s="276"/>
      <c r="S19" s="276">
        <v>63000</v>
      </c>
      <c r="T19" s="276">
        <f t="shared" si="4"/>
        <v>0</v>
      </c>
      <c r="U19" s="276">
        <f t="shared" si="5"/>
        <v>0</v>
      </c>
      <c r="V19" s="276">
        <v>63000</v>
      </c>
      <c r="W19" s="267"/>
      <c r="X19" s="266"/>
      <c r="Y19" s="259">
        <v>1</v>
      </c>
      <c r="Z19" s="259"/>
      <c r="AA19" s="259"/>
      <c r="AB19" s="259"/>
    </row>
    <row r="20" spans="1:28" s="268" customFormat="1" ht="15">
      <c r="A20" s="271" t="s">
        <v>412</v>
      </c>
      <c r="B20" s="272" t="s">
        <v>36</v>
      </c>
      <c r="C20" s="277"/>
      <c r="D20" s="261"/>
      <c r="E20" s="278"/>
      <c r="F20" s="278"/>
      <c r="G20" s="261"/>
      <c r="H20" s="263"/>
      <c r="I20" s="264">
        <f t="shared" ref="I20:V20" si="6">I21+I27</f>
        <v>2476535</v>
      </c>
      <c r="J20" s="264">
        <f t="shared" si="6"/>
        <v>2199535</v>
      </c>
      <c r="K20" s="264">
        <f t="shared" si="6"/>
        <v>0</v>
      </c>
      <c r="L20" s="264">
        <f t="shared" si="6"/>
        <v>0</v>
      </c>
      <c r="M20" s="264">
        <f t="shared" si="6"/>
        <v>262725</v>
      </c>
      <c r="N20" s="264">
        <f t="shared" si="6"/>
        <v>270871</v>
      </c>
      <c r="O20" s="264">
        <f t="shared" si="6"/>
        <v>27225</v>
      </c>
      <c r="P20" s="264">
        <f t="shared" si="6"/>
        <v>0</v>
      </c>
      <c r="Q20" s="264">
        <f t="shared" si="6"/>
        <v>57612</v>
      </c>
      <c r="R20" s="264">
        <f t="shared" si="6"/>
        <v>89917</v>
      </c>
      <c r="S20" s="264">
        <f t="shared" si="6"/>
        <v>96117</v>
      </c>
      <c r="T20" s="264">
        <f t="shared" si="6"/>
        <v>27146</v>
      </c>
      <c r="U20" s="264">
        <f t="shared" si="6"/>
        <v>19000</v>
      </c>
      <c r="V20" s="264">
        <f t="shared" si="6"/>
        <v>270871</v>
      </c>
      <c r="W20" s="267"/>
      <c r="X20" s="266"/>
      <c r="Y20" s="267"/>
      <c r="Z20" s="267"/>
      <c r="AA20" s="267"/>
      <c r="AB20" s="267"/>
    </row>
    <row r="21" spans="1:28" s="288" customFormat="1" ht="30">
      <c r="A21" s="279" t="s">
        <v>96</v>
      </c>
      <c r="B21" s="280" t="s">
        <v>123</v>
      </c>
      <c r="C21" s="281"/>
      <c r="D21" s="282"/>
      <c r="E21" s="283"/>
      <c r="F21" s="283"/>
      <c r="G21" s="282"/>
      <c r="H21" s="284"/>
      <c r="I21" s="285">
        <f t="shared" ref="I21:V21" si="7">SUM(I22:I26)</f>
        <v>322500</v>
      </c>
      <c r="J21" s="285">
        <f t="shared" si="7"/>
        <v>125500</v>
      </c>
      <c r="K21" s="285">
        <f t="shared" si="7"/>
        <v>0</v>
      </c>
      <c r="L21" s="285">
        <f t="shared" si="7"/>
        <v>0</v>
      </c>
      <c r="M21" s="285">
        <f t="shared" si="7"/>
        <v>152725</v>
      </c>
      <c r="N21" s="285">
        <f t="shared" si="7"/>
        <v>152725</v>
      </c>
      <c r="O21" s="285">
        <f t="shared" si="7"/>
        <v>27225</v>
      </c>
      <c r="P21" s="285">
        <f t="shared" si="7"/>
        <v>0</v>
      </c>
      <c r="Q21" s="285">
        <f t="shared" si="7"/>
        <v>57612</v>
      </c>
      <c r="R21" s="285">
        <f t="shared" si="7"/>
        <v>67888</v>
      </c>
      <c r="S21" s="285">
        <f t="shared" si="7"/>
        <v>0</v>
      </c>
      <c r="T21" s="285">
        <f t="shared" si="7"/>
        <v>0</v>
      </c>
      <c r="U21" s="285">
        <f t="shared" si="7"/>
        <v>0</v>
      </c>
      <c r="V21" s="285">
        <f t="shared" si="7"/>
        <v>152725</v>
      </c>
      <c r="W21" s="287"/>
      <c r="X21" s="266"/>
      <c r="Y21" s="287"/>
      <c r="Z21" s="287"/>
      <c r="AA21" s="287"/>
      <c r="AB21" s="287"/>
    </row>
    <row r="22" spans="1:28" s="268" customFormat="1" ht="42.4" customHeight="1">
      <c r="A22" s="260">
        <v>1</v>
      </c>
      <c r="B22" s="273" t="s">
        <v>392</v>
      </c>
      <c r="C22" s="262" t="s">
        <v>38</v>
      </c>
      <c r="D22" s="260" t="s">
        <v>625</v>
      </c>
      <c r="E22" s="274">
        <v>2022</v>
      </c>
      <c r="F22" s="274">
        <v>2024</v>
      </c>
      <c r="G22" s="260"/>
      <c r="H22" s="275" t="s">
        <v>639</v>
      </c>
      <c r="I22" s="276">
        <v>146000</v>
      </c>
      <c r="J22" s="276">
        <v>89000</v>
      </c>
      <c r="K22" s="276"/>
      <c r="L22" s="276"/>
      <c r="M22" s="276">
        <v>89000</v>
      </c>
      <c r="N22" s="276">
        <f t="shared" si="3"/>
        <v>89000</v>
      </c>
      <c r="O22" s="276"/>
      <c r="P22" s="276"/>
      <c r="Q22" s="276">
        <v>47612</v>
      </c>
      <c r="R22" s="276">
        <v>41388</v>
      </c>
      <c r="S22" s="276"/>
      <c r="T22" s="276">
        <f t="shared" si="4"/>
        <v>0</v>
      </c>
      <c r="U22" s="276">
        <f t="shared" si="5"/>
        <v>0</v>
      </c>
      <c r="V22" s="276">
        <v>89000</v>
      </c>
      <c r="W22" s="267"/>
      <c r="X22" s="266"/>
      <c r="Y22" s="259"/>
      <c r="Z22" s="259">
        <v>1</v>
      </c>
      <c r="AA22" s="259"/>
      <c r="AB22" s="259"/>
    </row>
    <row r="23" spans="1:28" s="268" customFormat="1" ht="61.15" customHeight="1">
      <c r="A23" s="260">
        <v>2</v>
      </c>
      <c r="B23" s="273" t="s">
        <v>206</v>
      </c>
      <c r="C23" s="262" t="s">
        <v>38</v>
      </c>
      <c r="D23" s="260" t="s">
        <v>229</v>
      </c>
      <c r="E23" s="274">
        <v>2023</v>
      </c>
      <c r="F23" s="274">
        <v>2025</v>
      </c>
      <c r="G23" s="260"/>
      <c r="H23" s="275" t="s">
        <v>982</v>
      </c>
      <c r="I23" s="276">
        <v>150000</v>
      </c>
      <c r="J23" s="276">
        <v>10000</v>
      </c>
      <c r="K23" s="276"/>
      <c r="L23" s="276"/>
      <c r="M23" s="276">
        <v>10000</v>
      </c>
      <c r="N23" s="276">
        <f t="shared" si="3"/>
        <v>10000</v>
      </c>
      <c r="O23" s="276"/>
      <c r="P23" s="276"/>
      <c r="Q23" s="276"/>
      <c r="R23" s="276">
        <v>10000</v>
      </c>
      <c r="S23" s="276"/>
      <c r="T23" s="276">
        <f t="shared" si="4"/>
        <v>0</v>
      </c>
      <c r="U23" s="276">
        <f t="shared" si="5"/>
        <v>0</v>
      </c>
      <c r="V23" s="276">
        <v>10000</v>
      </c>
      <c r="W23" s="267"/>
      <c r="X23" s="266"/>
      <c r="Y23" s="259"/>
      <c r="Z23" s="259">
        <v>1</v>
      </c>
      <c r="AA23" s="259"/>
      <c r="AB23" s="259"/>
    </row>
    <row r="24" spans="1:28" s="268" customFormat="1" ht="56.45" customHeight="1">
      <c r="A24" s="260">
        <v>3</v>
      </c>
      <c r="B24" s="273" t="s">
        <v>393</v>
      </c>
      <c r="C24" s="262" t="s">
        <v>39</v>
      </c>
      <c r="D24" s="260" t="s">
        <v>625</v>
      </c>
      <c r="E24" s="274">
        <v>2023</v>
      </c>
      <c r="F24" s="274">
        <v>2025</v>
      </c>
      <c r="G24" s="260"/>
      <c r="H24" s="275" t="s">
        <v>640</v>
      </c>
      <c r="I24" s="276">
        <v>13000</v>
      </c>
      <c r="J24" s="276">
        <v>13000</v>
      </c>
      <c r="K24" s="276"/>
      <c r="L24" s="276"/>
      <c r="M24" s="276">
        <v>13000</v>
      </c>
      <c r="N24" s="276">
        <f t="shared" si="3"/>
        <v>13000</v>
      </c>
      <c r="O24" s="276"/>
      <c r="P24" s="276"/>
      <c r="Q24" s="276">
        <v>5000</v>
      </c>
      <c r="R24" s="276">
        <v>8000</v>
      </c>
      <c r="S24" s="276"/>
      <c r="T24" s="276">
        <f t="shared" si="4"/>
        <v>0</v>
      </c>
      <c r="U24" s="276">
        <f t="shared" si="5"/>
        <v>0</v>
      </c>
      <c r="V24" s="276">
        <v>13000</v>
      </c>
      <c r="W24" s="267"/>
      <c r="X24" s="266"/>
      <c r="Y24" s="259"/>
      <c r="Z24" s="259">
        <v>1</v>
      </c>
      <c r="AA24" s="259"/>
      <c r="AB24" s="259"/>
    </row>
    <row r="25" spans="1:28" s="268" customFormat="1" ht="56.45" customHeight="1">
      <c r="A25" s="260">
        <v>4</v>
      </c>
      <c r="B25" s="273" t="s">
        <v>394</v>
      </c>
      <c r="C25" s="262" t="s">
        <v>39</v>
      </c>
      <c r="D25" s="260" t="s">
        <v>626</v>
      </c>
      <c r="E25" s="274">
        <v>2023</v>
      </c>
      <c r="F25" s="274">
        <v>2025</v>
      </c>
      <c r="G25" s="260"/>
      <c r="H25" s="275" t="s">
        <v>641</v>
      </c>
      <c r="I25" s="276">
        <v>13500</v>
      </c>
      <c r="J25" s="276">
        <v>13500</v>
      </c>
      <c r="K25" s="276"/>
      <c r="L25" s="276"/>
      <c r="M25" s="276">
        <v>13500</v>
      </c>
      <c r="N25" s="276">
        <f t="shared" si="3"/>
        <v>13500</v>
      </c>
      <c r="O25" s="276"/>
      <c r="P25" s="276"/>
      <c r="Q25" s="276">
        <v>5000</v>
      </c>
      <c r="R25" s="276">
        <v>8500</v>
      </c>
      <c r="S25" s="276"/>
      <c r="T25" s="276">
        <f t="shared" si="4"/>
        <v>0</v>
      </c>
      <c r="U25" s="276">
        <f t="shared" si="5"/>
        <v>0</v>
      </c>
      <c r="V25" s="276">
        <v>13500</v>
      </c>
      <c r="W25" s="267"/>
      <c r="X25" s="266"/>
      <c r="Y25" s="259"/>
      <c r="Z25" s="259">
        <v>1</v>
      </c>
      <c r="AA25" s="259"/>
      <c r="AB25" s="259"/>
    </row>
    <row r="26" spans="1:28" s="268" customFormat="1" ht="26.25" customHeight="1">
      <c r="A26" s="260">
        <v>5</v>
      </c>
      <c r="B26" s="273" t="s">
        <v>396</v>
      </c>
      <c r="C26" s="262"/>
      <c r="D26" s="260"/>
      <c r="E26" s="274"/>
      <c r="F26" s="274"/>
      <c r="G26" s="260"/>
      <c r="H26" s="275"/>
      <c r="I26" s="276"/>
      <c r="J26" s="276"/>
      <c r="K26" s="276"/>
      <c r="L26" s="276"/>
      <c r="M26" s="276">
        <v>27225</v>
      </c>
      <c r="N26" s="276">
        <f t="shared" si="3"/>
        <v>27225</v>
      </c>
      <c r="O26" s="276">
        <v>27225</v>
      </c>
      <c r="P26" s="276"/>
      <c r="Q26" s="276"/>
      <c r="R26" s="276"/>
      <c r="S26" s="276"/>
      <c r="T26" s="276">
        <f t="shared" si="4"/>
        <v>0</v>
      </c>
      <c r="U26" s="276">
        <f t="shared" si="5"/>
        <v>0</v>
      </c>
      <c r="V26" s="276">
        <v>27225</v>
      </c>
      <c r="W26" s="267"/>
      <c r="Y26" s="259"/>
      <c r="Z26" s="259"/>
      <c r="AA26" s="259"/>
      <c r="AB26" s="259"/>
    </row>
    <row r="27" spans="1:28" s="288" customFormat="1" ht="27" customHeight="1">
      <c r="A27" s="279" t="s">
        <v>97</v>
      </c>
      <c r="B27" s="280" t="s">
        <v>98</v>
      </c>
      <c r="C27" s="281"/>
      <c r="D27" s="282"/>
      <c r="E27" s="283"/>
      <c r="F27" s="283"/>
      <c r="G27" s="282"/>
      <c r="H27" s="284"/>
      <c r="I27" s="285">
        <f t="shared" ref="I27:V27" si="8">SUM(I28:I45)</f>
        <v>2154035</v>
      </c>
      <c r="J27" s="285">
        <f t="shared" si="8"/>
        <v>2074035</v>
      </c>
      <c r="K27" s="285">
        <f t="shared" si="8"/>
        <v>0</v>
      </c>
      <c r="L27" s="285">
        <f t="shared" si="8"/>
        <v>0</v>
      </c>
      <c r="M27" s="285">
        <f t="shared" si="8"/>
        <v>110000</v>
      </c>
      <c r="N27" s="285">
        <f t="shared" si="8"/>
        <v>118146</v>
      </c>
      <c r="O27" s="285">
        <f t="shared" si="8"/>
        <v>0</v>
      </c>
      <c r="P27" s="285">
        <f t="shared" si="8"/>
        <v>0</v>
      </c>
      <c r="Q27" s="285">
        <f t="shared" si="8"/>
        <v>0</v>
      </c>
      <c r="R27" s="285">
        <f t="shared" si="8"/>
        <v>22029</v>
      </c>
      <c r="S27" s="285">
        <f t="shared" si="8"/>
        <v>96117</v>
      </c>
      <c r="T27" s="285">
        <f t="shared" si="8"/>
        <v>27146</v>
      </c>
      <c r="U27" s="285">
        <f t="shared" si="8"/>
        <v>19000</v>
      </c>
      <c r="V27" s="285">
        <f t="shared" si="8"/>
        <v>118146</v>
      </c>
      <c r="W27" s="287"/>
      <c r="Y27" s="287"/>
      <c r="Z27" s="287"/>
      <c r="AA27" s="287"/>
      <c r="AB27" s="287"/>
    </row>
    <row r="28" spans="1:28" s="268" customFormat="1" ht="54.75" customHeight="1">
      <c r="A28" s="260">
        <v>1</v>
      </c>
      <c r="B28" s="273" t="s">
        <v>148</v>
      </c>
      <c r="C28" s="262" t="s">
        <v>38</v>
      </c>
      <c r="D28" s="260" t="s">
        <v>229</v>
      </c>
      <c r="E28" s="274">
        <v>2023</v>
      </c>
      <c r="F28" s="274">
        <v>2026</v>
      </c>
      <c r="G28" s="260"/>
      <c r="H28" s="275" t="s">
        <v>302</v>
      </c>
      <c r="I28" s="276">
        <v>195000</v>
      </c>
      <c r="J28" s="276">
        <v>145000</v>
      </c>
      <c r="K28" s="276"/>
      <c r="L28" s="276"/>
      <c r="M28" s="276">
        <v>45000</v>
      </c>
      <c r="N28" s="276">
        <f t="shared" si="3"/>
        <v>45000</v>
      </c>
      <c r="O28" s="276"/>
      <c r="P28" s="276"/>
      <c r="Q28" s="276"/>
      <c r="R28" s="276">
        <v>6029</v>
      </c>
      <c r="S28" s="276">
        <v>38971</v>
      </c>
      <c r="T28" s="276">
        <f t="shared" si="4"/>
        <v>0</v>
      </c>
      <c r="U28" s="276">
        <f t="shared" si="5"/>
        <v>0</v>
      </c>
      <c r="V28" s="276">
        <v>45000</v>
      </c>
      <c r="W28" s="267"/>
      <c r="Y28" s="259"/>
      <c r="Z28" s="259"/>
      <c r="AA28" s="259">
        <v>1</v>
      </c>
      <c r="AB28" s="259"/>
    </row>
    <row r="29" spans="1:28" s="268" customFormat="1" ht="60.75" customHeight="1">
      <c r="A29" s="260">
        <v>2</v>
      </c>
      <c r="B29" s="273" t="s">
        <v>389</v>
      </c>
      <c r="C29" s="262" t="s">
        <v>38</v>
      </c>
      <c r="D29" s="260" t="s">
        <v>229</v>
      </c>
      <c r="E29" s="274"/>
      <c r="F29" s="274"/>
      <c r="G29" s="260"/>
      <c r="H29" s="275" t="s">
        <v>638</v>
      </c>
      <c r="I29" s="276">
        <v>200000</v>
      </c>
      <c r="J29" s="276">
        <v>200000</v>
      </c>
      <c r="K29" s="276"/>
      <c r="L29" s="276"/>
      <c r="M29" s="276">
        <v>11000</v>
      </c>
      <c r="N29" s="276">
        <f t="shared" si="3"/>
        <v>11000</v>
      </c>
      <c r="O29" s="276"/>
      <c r="P29" s="276"/>
      <c r="Q29" s="276"/>
      <c r="R29" s="276">
        <v>6000</v>
      </c>
      <c r="S29" s="276">
        <v>5000</v>
      </c>
      <c r="T29" s="276">
        <f t="shared" si="4"/>
        <v>0</v>
      </c>
      <c r="U29" s="276">
        <f t="shared" si="5"/>
        <v>0</v>
      </c>
      <c r="V29" s="276">
        <v>11000</v>
      </c>
      <c r="W29" s="267"/>
      <c r="Y29" s="259"/>
      <c r="Z29" s="259"/>
      <c r="AA29" s="259">
        <v>1</v>
      </c>
      <c r="AB29" s="259"/>
    </row>
    <row r="30" spans="1:28" s="268" customFormat="1" ht="46.15">
      <c r="A30" s="260">
        <v>3</v>
      </c>
      <c r="B30" s="273" t="s">
        <v>390</v>
      </c>
      <c r="C30" s="262" t="s">
        <v>38</v>
      </c>
      <c r="D30" s="260" t="s">
        <v>229</v>
      </c>
      <c r="E30" s="274"/>
      <c r="F30" s="274"/>
      <c r="G30" s="260"/>
      <c r="H30" s="275"/>
      <c r="I30" s="276">
        <v>702000</v>
      </c>
      <c r="J30" s="276">
        <v>702000</v>
      </c>
      <c r="K30" s="276"/>
      <c r="L30" s="276"/>
      <c r="M30" s="276">
        <v>10000</v>
      </c>
      <c r="N30" s="276">
        <f t="shared" si="3"/>
        <v>5000</v>
      </c>
      <c r="O30" s="276"/>
      <c r="P30" s="276"/>
      <c r="Q30" s="276"/>
      <c r="R30" s="276">
        <v>5000</v>
      </c>
      <c r="S30" s="276"/>
      <c r="T30" s="276">
        <f t="shared" si="4"/>
        <v>0</v>
      </c>
      <c r="U30" s="276">
        <f t="shared" si="5"/>
        <v>5000</v>
      </c>
      <c r="V30" s="276">
        <v>5000</v>
      </c>
      <c r="W30" s="260" t="s">
        <v>1074</v>
      </c>
      <c r="Y30" s="259"/>
      <c r="Z30" s="259"/>
      <c r="AA30" s="259">
        <v>1</v>
      </c>
      <c r="AB30" s="259"/>
    </row>
    <row r="31" spans="1:28" s="268" customFormat="1" ht="54.75" customHeight="1">
      <c r="A31" s="260">
        <v>4</v>
      </c>
      <c r="B31" s="273" t="s">
        <v>391</v>
      </c>
      <c r="C31" s="262" t="s">
        <v>38</v>
      </c>
      <c r="D31" s="260" t="s">
        <v>229</v>
      </c>
      <c r="E31" s="274"/>
      <c r="F31" s="274"/>
      <c r="G31" s="260"/>
      <c r="H31" s="275"/>
      <c r="I31" s="276">
        <v>790000</v>
      </c>
      <c r="J31" s="276">
        <v>790000</v>
      </c>
      <c r="K31" s="276"/>
      <c r="L31" s="276"/>
      <c r="M31" s="276">
        <v>10000</v>
      </c>
      <c r="N31" s="276">
        <f t="shared" si="3"/>
        <v>5000</v>
      </c>
      <c r="O31" s="276"/>
      <c r="P31" s="276"/>
      <c r="Q31" s="276"/>
      <c r="R31" s="276">
        <v>5000</v>
      </c>
      <c r="S31" s="276"/>
      <c r="T31" s="276">
        <f t="shared" si="4"/>
        <v>0</v>
      </c>
      <c r="U31" s="276">
        <f t="shared" si="5"/>
        <v>5000</v>
      </c>
      <c r="V31" s="276">
        <v>5000</v>
      </c>
      <c r="W31" s="260" t="s">
        <v>1074</v>
      </c>
      <c r="Y31" s="259"/>
      <c r="Z31" s="259"/>
      <c r="AA31" s="259">
        <v>1</v>
      </c>
      <c r="AB31" s="259"/>
    </row>
    <row r="32" spans="1:28" s="268" customFormat="1" ht="41.25" customHeight="1">
      <c r="A32" s="260">
        <v>5</v>
      </c>
      <c r="B32" s="273" t="s">
        <v>502</v>
      </c>
      <c r="C32" s="262"/>
      <c r="D32" s="260"/>
      <c r="E32" s="274"/>
      <c r="F32" s="274"/>
      <c r="G32" s="260"/>
      <c r="H32" s="275" t="s">
        <v>1048</v>
      </c>
      <c r="I32" s="276">
        <v>44500</v>
      </c>
      <c r="J32" s="276">
        <v>24500</v>
      </c>
      <c r="K32" s="276"/>
      <c r="L32" s="276"/>
      <c r="M32" s="276">
        <v>24500</v>
      </c>
      <c r="N32" s="276">
        <f t="shared" si="3"/>
        <v>24500</v>
      </c>
      <c r="O32" s="276"/>
      <c r="P32" s="276"/>
      <c r="Q32" s="276"/>
      <c r="R32" s="276"/>
      <c r="S32" s="276">
        <v>24500</v>
      </c>
      <c r="T32" s="276">
        <f t="shared" si="4"/>
        <v>0</v>
      </c>
      <c r="U32" s="276">
        <f t="shared" si="5"/>
        <v>0</v>
      </c>
      <c r="V32" s="276">
        <v>24500</v>
      </c>
      <c r="W32" s="260"/>
      <c r="Y32" s="259"/>
      <c r="Z32" s="259"/>
      <c r="AA32" s="259">
        <v>1</v>
      </c>
      <c r="AB32" s="259"/>
    </row>
    <row r="33" spans="1:35" s="268" customFormat="1" ht="72.75" customHeight="1">
      <c r="A33" s="260">
        <v>6</v>
      </c>
      <c r="B33" s="273" t="s">
        <v>983</v>
      </c>
      <c r="C33" s="262"/>
      <c r="D33" s="260"/>
      <c r="E33" s="274"/>
      <c r="F33" s="274"/>
      <c r="G33" s="260"/>
      <c r="H33" s="275" t="s">
        <v>1073</v>
      </c>
      <c r="I33" s="276">
        <v>45000</v>
      </c>
      <c r="J33" s="276">
        <v>45000</v>
      </c>
      <c r="K33" s="276"/>
      <c r="L33" s="276"/>
      <c r="M33" s="276">
        <v>9000</v>
      </c>
      <c r="N33" s="276">
        <f t="shared" si="3"/>
        <v>500</v>
      </c>
      <c r="O33" s="276"/>
      <c r="P33" s="276"/>
      <c r="Q33" s="276"/>
      <c r="R33" s="276"/>
      <c r="S33" s="276">
        <v>500</v>
      </c>
      <c r="T33" s="276">
        <f t="shared" si="4"/>
        <v>0</v>
      </c>
      <c r="U33" s="276">
        <f t="shared" si="5"/>
        <v>8500</v>
      </c>
      <c r="V33" s="276">
        <v>500</v>
      </c>
      <c r="W33" s="260" t="s">
        <v>1075</v>
      </c>
      <c r="Y33" s="259"/>
      <c r="Z33" s="259"/>
      <c r="AA33" s="259">
        <v>1</v>
      </c>
      <c r="AB33" s="259"/>
    </row>
    <row r="34" spans="1:35" s="268" customFormat="1" ht="98.25" customHeight="1">
      <c r="A34" s="260">
        <v>7</v>
      </c>
      <c r="B34" s="273" t="s">
        <v>984</v>
      </c>
      <c r="C34" s="262"/>
      <c r="D34" s="260"/>
      <c r="E34" s="274"/>
      <c r="F34" s="274"/>
      <c r="G34" s="260"/>
      <c r="H34" s="275"/>
      <c r="I34" s="276">
        <v>24135</v>
      </c>
      <c r="J34" s="276">
        <v>24135</v>
      </c>
      <c r="K34" s="276"/>
      <c r="L34" s="276"/>
      <c r="M34" s="276">
        <v>500</v>
      </c>
      <c r="N34" s="276">
        <f t="shared" si="3"/>
        <v>0</v>
      </c>
      <c r="O34" s="276"/>
      <c r="P34" s="276"/>
      <c r="Q34" s="276"/>
      <c r="R34" s="276"/>
      <c r="S34" s="276">
        <v>0</v>
      </c>
      <c r="T34" s="276">
        <f t="shared" si="4"/>
        <v>0</v>
      </c>
      <c r="U34" s="276">
        <f t="shared" si="5"/>
        <v>500</v>
      </c>
      <c r="V34" s="276">
        <v>0</v>
      </c>
      <c r="W34" s="260" t="s">
        <v>1076</v>
      </c>
      <c r="Y34" s="259"/>
      <c r="Z34" s="259"/>
      <c r="AA34" s="259"/>
      <c r="AB34" s="259">
        <v>1</v>
      </c>
    </row>
    <row r="35" spans="1:35" s="268" customFormat="1" ht="42.4" customHeight="1">
      <c r="A35" s="260">
        <v>8</v>
      </c>
      <c r="B35" s="273" t="s">
        <v>466</v>
      </c>
      <c r="C35" s="262" t="s">
        <v>39</v>
      </c>
      <c r="D35" s="260"/>
      <c r="E35" s="274"/>
      <c r="F35" s="274"/>
      <c r="G35" s="260"/>
      <c r="H35" s="275" t="s">
        <v>1077</v>
      </c>
      <c r="I35" s="276">
        <v>14950</v>
      </c>
      <c r="J35" s="276">
        <v>12450</v>
      </c>
      <c r="K35" s="276"/>
      <c r="L35" s="276"/>
      <c r="M35" s="276"/>
      <c r="N35" s="289">
        <v>2500</v>
      </c>
      <c r="O35" s="276"/>
      <c r="P35" s="276"/>
      <c r="Q35" s="276"/>
      <c r="R35" s="276"/>
      <c r="S35" s="289">
        <v>2500</v>
      </c>
      <c r="T35" s="289">
        <v>2500</v>
      </c>
      <c r="U35" s="276">
        <f t="shared" ref="U35:U45" si="9">IF(V35&lt;M35,M35-V35,0)</f>
        <v>0</v>
      </c>
      <c r="V35" s="289">
        <v>2500</v>
      </c>
      <c r="W35" s="545"/>
      <c r="Y35" s="259"/>
      <c r="Z35" s="259"/>
      <c r="AA35" s="259"/>
      <c r="AB35" s="259"/>
    </row>
    <row r="36" spans="1:35" s="268" customFormat="1" ht="42.4" customHeight="1">
      <c r="A36" s="260">
        <v>9</v>
      </c>
      <c r="B36" s="273" t="s">
        <v>467</v>
      </c>
      <c r="C36" s="262" t="s">
        <v>39</v>
      </c>
      <c r="D36" s="260"/>
      <c r="E36" s="274"/>
      <c r="F36" s="274"/>
      <c r="G36" s="260"/>
      <c r="H36" s="275" t="s">
        <v>1078</v>
      </c>
      <c r="I36" s="276">
        <v>14900</v>
      </c>
      <c r="J36" s="276">
        <v>12400</v>
      </c>
      <c r="K36" s="276"/>
      <c r="L36" s="276"/>
      <c r="M36" s="276"/>
      <c r="N36" s="289">
        <v>2500</v>
      </c>
      <c r="O36" s="276"/>
      <c r="P36" s="276"/>
      <c r="Q36" s="276"/>
      <c r="R36" s="276"/>
      <c r="S36" s="289">
        <v>2500</v>
      </c>
      <c r="T36" s="289">
        <v>2500</v>
      </c>
      <c r="U36" s="276">
        <f t="shared" si="9"/>
        <v>0</v>
      </c>
      <c r="V36" s="289">
        <v>2500</v>
      </c>
      <c r="W36" s="545"/>
      <c r="Y36" s="259"/>
      <c r="Z36" s="259"/>
      <c r="AA36" s="259"/>
      <c r="AB36" s="259"/>
      <c r="AI36" s="266">
        <f>SUM(S35:S45)</f>
        <v>27146</v>
      </c>
    </row>
    <row r="37" spans="1:35" s="268" customFormat="1" ht="42.4" customHeight="1">
      <c r="A37" s="260">
        <v>10</v>
      </c>
      <c r="B37" s="273" t="s">
        <v>468</v>
      </c>
      <c r="C37" s="262" t="s">
        <v>39</v>
      </c>
      <c r="D37" s="260"/>
      <c r="E37" s="274"/>
      <c r="F37" s="274"/>
      <c r="G37" s="260"/>
      <c r="H37" s="275" t="s">
        <v>1079</v>
      </c>
      <c r="I37" s="276">
        <v>9000</v>
      </c>
      <c r="J37" s="276">
        <v>6500</v>
      </c>
      <c r="K37" s="276"/>
      <c r="L37" s="276"/>
      <c r="M37" s="276"/>
      <c r="N37" s="289">
        <v>2500</v>
      </c>
      <c r="O37" s="276"/>
      <c r="P37" s="276"/>
      <c r="Q37" s="276"/>
      <c r="R37" s="276"/>
      <c r="S37" s="289">
        <v>2500</v>
      </c>
      <c r="T37" s="289">
        <v>2500</v>
      </c>
      <c r="U37" s="276">
        <f t="shared" si="9"/>
        <v>0</v>
      </c>
      <c r="V37" s="289">
        <v>2500</v>
      </c>
      <c r="W37" s="545"/>
      <c r="Y37" s="259"/>
      <c r="Z37" s="259"/>
      <c r="AA37" s="259"/>
      <c r="AB37" s="259"/>
    </row>
    <row r="38" spans="1:35" s="268" customFormat="1" ht="48.95" customHeight="1">
      <c r="A38" s="260">
        <v>11</v>
      </c>
      <c r="B38" s="273" t="s">
        <v>470</v>
      </c>
      <c r="C38" s="262" t="s">
        <v>39</v>
      </c>
      <c r="D38" s="260"/>
      <c r="E38" s="274"/>
      <c r="F38" s="274"/>
      <c r="G38" s="260"/>
      <c r="H38" s="275" t="s">
        <v>1080</v>
      </c>
      <c r="I38" s="276">
        <v>11150</v>
      </c>
      <c r="J38" s="276">
        <v>8650</v>
      </c>
      <c r="K38" s="276"/>
      <c r="L38" s="276"/>
      <c r="M38" s="276"/>
      <c r="N38" s="289">
        <v>2500</v>
      </c>
      <c r="O38" s="276"/>
      <c r="P38" s="276"/>
      <c r="Q38" s="276"/>
      <c r="R38" s="276"/>
      <c r="S38" s="289">
        <v>2500</v>
      </c>
      <c r="T38" s="289">
        <v>2500</v>
      </c>
      <c r="U38" s="276">
        <f t="shared" si="9"/>
        <v>0</v>
      </c>
      <c r="V38" s="289">
        <v>2500</v>
      </c>
      <c r="W38" s="545"/>
      <c r="Y38" s="259"/>
      <c r="Z38" s="259"/>
      <c r="AA38" s="259"/>
      <c r="AB38" s="259"/>
    </row>
    <row r="39" spans="1:35" s="268" customFormat="1" ht="48.95" customHeight="1">
      <c r="A39" s="260">
        <v>12</v>
      </c>
      <c r="B39" s="273" t="s">
        <v>1169</v>
      </c>
      <c r="C39" s="262"/>
      <c r="D39" s="260"/>
      <c r="E39" s="274"/>
      <c r="F39" s="274"/>
      <c r="G39" s="260"/>
      <c r="H39" s="275" t="s">
        <v>1988</v>
      </c>
      <c r="I39" s="276">
        <v>14800</v>
      </c>
      <c r="J39" s="276">
        <v>14800</v>
      </c>
      <c r="K39" s="276"/>
      <c r="L39" s="276"/>
      <c r="M39" s="276"/>
      <c r="N39" s="289">
        <v>2500</v>
      </c>
      <c r="O39" s="276"/>
      <c r="P39" s="276"/>
      <c r="Q39" s="276"/>
      <c r="R39" s="276"/>
      <c r="S39" s="289">
        <v>2500</v>
      </c>
      <c r="T39" s="289">
        <v>2500</v>
      </c>
      <c r="U39" s="276">
        <f t="shared" si="9"/>
        <v>0</v>
      </c>
      <c r="V39" s="289">
        <v>2500</v>
      </c>
      <c r="W39" s="545"/>
      <c r="Y39" s="259"/>
      <c r="Z39" s="259"/>
      <c r="AA39" s="259"/>
      <c r="AB39" s="259"/>
    </row>
    <row r="40" spans="1:35" s="268" customFormat="1" ht="48.95" customHeight="1">
      <c r="A40" s="260">
        <v>13</v>
      </c>
      <c r="B40" s="273" t="s">
        <v>1170</v>
      </c>
      <c r="C40" s="262"/>
      <c r="D40" s="260"/>
      <c r="E40" s="274"/>
      <c r="F40" s="274"/>
      <c r="G40" s="260"/>
      <c r="H40" s="275" t="s">
        <v>1982</v>
      </c>
      <c r="I40" s="276">
        <v>14700</v>
      </c>
      <c r="J40" s="276">
        <v>14700</v>
      </c>
      <c r="K40" s="276"/>
      <c r="L40" s="276"/>
      <c r="M40" s="276"/>
      <c r="N40" s="289">
        <v>2500</v>
      </c>
      <c r="O40" s="276"/>
      <c r="P40" s="276"/>
      <c r="Q40" s="276"/>
      <c r="R40" s="276"/>
      <c r="S40" s="289">
        <v>2500</v>
      </c>
      <c r="T40" s="289">
        <v>2500</v>
      </c>
      <c r="U40" s="276">
        <f t="shared" si="9"/>
        <v>0</v>
      </c>
      <c r="V40" s="289">
        <v>2500</v>
      </c>
      <c r="W40" s="545"/>
      <c r="Y40" s="259"/>
      <c r="Z40" s="259"/>
      <c r="AA40" s="259"/>
      <c r="AB40" s="259"/>
    </row>
    <row r="41" spans="1:35" s="268" customFormat="1" ht="48.95" customHeight="1">
      <c r="A41" s="260">
        <v>14</v>
      </c>
      <c r="B41" s="273" t="s">
        <v>1171</v>
      </c>
      <c r="C41" s="262"/>
      <c r="D41" s="260"/>
      <c r="E41" s="274"/>
      <c r="F41" s="274"/>
      <c r="G41" s="260"/>
      <c r="H41" s="275" t="s">
        <v>1983</v>
      </c>
      <c r="I41" s="276">
        <v>14500</v>
      </c>
      <c r="J41" s="276">
        <v>14500</v>
      </c>
      <c r="K41" s="276"/>
      <c r="L41" s="276"/>
      <c r="M41" s="276"/>
      <c r="N41" s="289">
        <v>2500</v>
      </c>
      <c r="O41" s="276"/>
      <c r="P41" s="276"/>
      <c r="Q41" s="276"/>
      <c r="R41" s="276"/>
      <c r="S41" s="289">
        <v>2500</v>
      </c>
      <c r="T41" s="289">
        <v>2500</v>
      </c>
      <c r="U41" s="276">
        <f t="shared" si="9"/>
        <v>0</v>
      </c>
      <c r="V41" s="289">
        <v>2500</v>
      </c>
      <c r="W41" s="545"/>
      <c r="Y41" s="259"/>
      <c r="Z41" s="259"/>
      <c r="AA41" s="259"/>
      <c r="AB41" s="259"/>
    </row>
    <row r="42" spans="1:35" s="268" customFormat="1" ht="48.95" customHeight="1">
      <c r="A42" s="260">
        <v>15</v>
      </c>
      <c r="B42" s="273" t="s">
        <v>1172</v>
      </c>
      <c r="C42" s="262"/>
      <c r="D42" s="260"/>
      <c r="E42" s="274"/>
      <c r="F42" s="274"/>
      <c r="G42" s="260"/>
      <c r="H42" s="275" t="s">
        <v>1984</v>
      </c>
      <c r="I42" s="276">
        <v>14900</v>
      </c>
      <c r="J42" s="276">
        <v>14900</v>
      </c>
      <c r="K42" s="276"/>
      <c r="L42" s="276"/>
      <c r="M42" s="276"/>
      <c r="N42" s="289">
        <v>2146</v>
      </c>
      <c r="O42" s="276"/>
      <c r="P42" s="276"/>
      <c r="Q42" s="276"/>
      <c r="R42" s="276"/>
      <c r="S42" s="289">
        <v>2146</v>
      </c>
      <c r="T42" s="289">
        <v>2146</v>
      </c>
      <c r="U42" s="276">
        <f t="shared" si="9"/>
        <v>0</v>
      </c>
      <c r="V42" s="289">
        <v>2146</v>
      </c>
      <c r="W42" s="545"/>
      <c r="Y42" s="259"/>
      <c r="Z42" s="259"/>
      <c r="AA42" s="259"/>
      <c r="AB42" s="259"/>
    </row>
    <row r="43" spans="1:35" s="268" customFormat="1" ht="30.75">
      <c r="A43" s="260">
        <v>16</v>
      </c>
      <c r="B43" s="273" t="s">
        <v>1997</v>
      </c>
      <c r="C43" s="262"/>
      <c r="D43" s="260"/>
      <c r="E43" s="274"/>
      <c r="F43" s="274"/>
      <c r="G43" s="260"/>
      <c r="H43" s="275" t="s">
        <v>1985</v>
      </c>
      <c r="I43" s="276">
        <v>14800</v>
      </c>
      <c r="J43" s="276">
        <v>14800</v>
      </c>
      <c r="K43" s="276"/>
      <c r="L43" s="276"/>
      <c r="M43" s="276"/>
      <c r="N43" s="289">
        <v>2500</v>
      </c>
      <c r="O43" s="276"/>
      <c r="P43" s="276"/>
      <c r="Q43" s="276"/>
      <c r="R43" s="276"/>
      <c r="S43" s="289">
        <v>2500</v>
      </c>
      <c r="T43" s="289">
        <v>2500</v>
      </c>
      <c r="U43" s="276">
        <f t="shared" si="9"/>
        <v>0</v>
      </c>
      <c r="V43" s="289">
        <v>2500</v>
      </c>
      <c r="W43" s="545"/>
      <c r="Y43" s="259"/>
      <c r="Z43" s="259"/>
      <c r="AA43" s="259"/>
      <c r="AB43" s="259"/>
    </row>
    <row r="44" spans="1:35" s="268" customFormat="1" ht="43.5" customHeight="1">
      <c r="A44" s="260">
        <v>17</v>
      </c>
      <c r="B44" s="273" t="s">
        <v>1998</v>
      </c>
      <c r="C44" s="262"/>
      <c r="D44" s="260"/>
      <c r="E44" s="274"/>
      <c r="F44" s="274"/>
      <c r="G44" s="260"/>
      <c r="H44" s="275" t="s">
        <v>1986</v>
      </c>
      <c r="I44" s="276">
        <v>14900</v>
      </c>
      <c r="J44" s="276">
        <v>14900</v>
      </c>
      <c r="K44" s="276"/>
      <c r="L44" s="276"/>
      <c r="M44" s="276"/>
      <c r="N44" s="289">
        <v>2500</v>
      </c>
      <c r="O44" s="276"/>
      <c r="P44" s="276"/>
      <c r="Q44" s="276"/>
      <c r="R44" s="276"/>
      <c r="S44" s="289">
        <v>2500</v>
      </c>
      <c r="T44" s="289">
        <v>2500</v>
      </c>
      <c r="U44" s="276">
        <f t="shared" si="9"/>
        <v>0</v>
      </c>
      <c r="V44" s="289">
        <v>2500</v>
      </c>
      <c r="W44" s="545"/>
      <c r="Y44" s="259"/>
      <c r="Z44" s="259"/>
      <c r="AA44" s="259"/>
      <c r="AB44" s="259"/>
    </row>
    <row r="45" spans="1:35" s="268" customFormat="1" ht="39" customHeight="1">
      <c r="A45" s="260">
        <v>18</v>
      </c>
      <c r="B45" s="273" t="s">
        <v>1999</v>
      </c>
      <c r="C45" s="262"/>
      <c r="D45" s="260"/>
      <c r="E45" s="274"/>
      <c r="F45" s="274"/>
      <c r="G45" s="260"/>
      <c r="H45" s="275" t="s">
        <v>1987</v>
      </c>
      <c r="I45" s="276">
        <v>14800</v>
      </c>
      <c r="J45" s="276">
        <v>14800</v>
      </c>
      <c r="K45" s="276"/>
      <c r="L45" s="276"/>
      <c r="M45" s="276"/>
      <c r="N45" s="289">
        <v>2500</v>
      </c>
      <c r="O45" s="276"/>
      <c r="P45" s="276"/>
      <c r="Q45" s="276"/>
      <c r="R45" s="276"/>
      <c r="S45" s="289">
        <v>2500</v>
      </c>
      <c r="T45" s="289">
        <v>2500</v>
      </c>
      <c r="U45" s="276">
        <f t="shared" si="9"/>
        <v>0</v>
      </c>
      <c r="V45" s="289">
        <v>2500</v>
      </c>
      <c r="W45" s="545"/>
      <c r="Y45" s="259"/>
      <c r="Z45" s="259"/>
      <c r="AA45" s="259"/>
      <c r="AB45" s="259"/>
    </row>
    <row r="46" spans="1:35" s="268" customFormat="1" ht="62.25" customHeight="1">
      <c r="A46" s="261" t="s">
        <v>38</v>
      </c>
      <c r="B46" s="290" t="s">
        <v>1068</v>
      </c>
      <c r="C46" s="262"/>
      <c r="D46" s="261"/>
      <c r="E46" s="274"/>
      <c r="F46" s="274"/>
      <c r="G46" s="261"/>
      <c r="H46" s="263"/>
      <c r="I46" s="264">
        <f>I47+I48+I59</f>
        <v>15231497.4</v>
      </c>
      <c r="J46" s="264">
        <f t="shared" ref="J46:V46" si="10">J47+J48+J59</f>
        <v>5307711.9000000004</v>
      </c>
      <c r="K46" s="264">
        <f t="shared" si="10"/>
        <v>3298117.41</v>
      </c>
      <c r="L46" s="264">
        <f t="shared" si="10"/>
        <v>648375.41</v>
      </c>
      <c r="M46" s="264">
        <f t="shared" si="10"/>
        <v>3761925.3689999995</v>
      </c>
      <c r="N46" s="264">
        <f t="shared" si="10"/>
        <v>3495876.6077150865</v>
      </c>
      <c r="O46" s="264">
        <f t="shared" si="10"/>
        <v>689755.1</v>
      </c>
      <c r="P46" s="264">
        <f t="shared" si="10"/>
        <v>662530.1</v>
      </c>
      <c r="Q46" s="264">
        <f t="shared" si="10"/>
        <v>696319.12999999989</v>
      </c>
      <c r="R46" s="264">
        <f t="shared" si="10"/>
        <v>716472.27771508647</v>
      </c>
      <c r="S46" s="264">
        <f t="shared" si="10"/>
        <v>730800</v>
      </c>
      <c r="T46" s="264">
        <f t="shared" si="10"/>
        <v>2404</v>
      </c>
      <c r="U46" s="264">
        <f t="shared" si="10"/>
        <v>268452.76128491317</v>
      </c>
      <c r="V46" s="264">
        <f t="shared" si="10"/>
        <v>3495875.6077150865</v>
      </c>
      <c r="W46" s="267"/>
      <c r="X46" s="266">
        <f>U46-T46</f>
        <v>266048.76128491317</v>
      </c>
      <c r="Y46" s="259"/>
      <c r="Z46" s="259"/>
      <c r="AA46" s="259"/>
      <c r="AB46" s="259"/>
    </row>
    <row r="47" spans="1:35" s="268" customFormat="1" ht="29.25" customHeight="1">
      <c r="A47" s="261" t="s">
        <v>33</v>
      </c>
      <c r="B47" s="290" t="s">
        <v>397</v>
      </c>
      <c r="C47" s="262"/>
      <c r="D47" s="261"/>
      <c r="E47" s="278"/>
      <c r="F47" s="278"/>
      <c r="G47" s="261"/>
      <c r="H47" s="263"/>
      <c r="I47" s="264"/>
      <c r="J47" s="264"/>
      <c r="K47" s="264"/>
      <c r="L47" s="264"/>
      <c r="M47" s="264">
        <v>0</v>
      </c>
      <c r="N47" s="276">
        <f t="shared" si="3"/>
        <v>0</v>
      </c>
      <c r="O47" s="264"/>
      <c r="P47" s="264"/>
      <c r="Q47" s="264"/>
      <c r="R47" s="264"/>
      <c r="S47" s="291"/>
      <c r="T47" s="276">
        <f t="shared" si="4"/>
        <v>0</v>
      </c>
      <c r="U47" s="276">
        <f t="shared" si="5"/>
        <v>0</v>
      </c>
      <c r="V47" s="291">
        <v>0</v>
      </c>
      <c r="W47" s="267"/>
      <c r="Y47" s="259"/>
      <c r="Z47" s="259"/>
      <c r="AA47" s="259"/>
      <c r="AB47" s="259"/>
    </row>
    <row r="48" spans="1:35" s="268" customFormat="1" ht="44.25" customHeight="1">
      <c r="A48" s="261" t="s">
        <v>34</v>
      </c>
      <c r="B48" s="290" t="s">
        <v>398</v>
      </c>
      <c r="C48" s="262"/>
      <c r="D48" s="261"/>
      <c r="E48" s="274"/>
      <c r="F48" s="274"/>
      <c r="G48" s="261"/>
      <c r="H48" s="263"/>
      <c r="I48" s="264">
        <f t="shared" ref="I48:V48" si="11">I49+I50+I51+I52+I53+I54+I55+I56+I57+I58</f>
        <v>0</v>
      </c>
      <c r="J48" s="264">
        <f t="shared" si="11"/>
        <v>0</v>
      </c>
      <c r="K48" s="264">
        <f t="shared" si="11"/>
        <v>0</v>
      </c>
      <c r="L48" s="264">
        <f t="shared" si="11"/>
        <v>0</v>
      </c>
      <c r="M48" s="264">
        <f t="shared" si="11"/>
        <v>1008368.9999999997</v>
      </c>
      <c r="N48" s="264">
        <f t="shared" si="11"/>
        <v>936535.50271508645</v>
      </c>
      <c r="O48" s="264">
        <f t="shared" si="11"/>
        <v>178883.1</v>
      </c>
      <c r="P48" s="264">
        <f t="shared" si="11"/>
        <v>178883.1</v>
      </c>
      <c r="Q48" s="264">
        <f t="shared" si="11"/>
        <v>188006.12999999995</v>
      </c>
      <c r="R48" s="264">
        <f t="shared" si="11"/>
        <v>193447.17271508649</v>
      </c>
      <c r="S48" s="264">
        <f t="shared" si="11"/>
        <v>197315.99999999997</v>
      </c>
      <c r="T48" s="264">
        <f t="shared" si="11"/>
        <v>0</v>
      </c>
      <c r="U48" s="264">
        <f>U49+U50+U51+U52+U53+U54+U55+U56+U57+U58-1</f>
        <v>71832.497284913159</v>
      </c>
      <c r="V48" s="264">
        <f t="shared" si="11"/>
        <v>936535.50271508645</v>
      </c>
      <c r="W48" s="267"/>
      <c r="Y48" s="259"/>
      <c r="Z48" s="259"/>
      <c r="AA48" s="259"/>
      <c r="AB48" s="259"/>
    </row>
    <row r="49" spans="1:32" s="298" customFormat="1" ht="17.850000000000001" customHeight="1">
      <c r="A49" s="292">
        <v>1</v>
      </c>
      <c r="B49" s="293" t="s">
        <v>399</v>
      </c>
      <c r="C49" s="262"/>
      <c r="D49" s="294"/>
      <c r="E49" s="274"/>
      <c r="F49" s="274"/>
      <c r="G49" s="294"/>
      <c r="H49" s="275"/>
      <c r="I49" s="295"/>
      <c r="J49" s="295"/>
      <c r="K49" s="295"/>
      <c r="L49" s="295"/>
      <c r="M49" s="295">
        <v>106920.71524870901</v>
      </c>
      <c r="N49" s="276">
        <f t="shared" si="3"/>
        <v>99304.124447071488</v>
      </c>
      <c r="O49" s="295">
        <v>18967.569409518161</v>
      </c>
      <c r="P49" s="295">
        <v>18967.569409518161</v>
      </c>
      <c r="Q49" s="295">
        <v>19934.91459053367</v>
      </c>
      <c r="R49" s="295">
        <v>20512</v>
      </c>
      <c r="S49" s="296">
        <v>20922.071037501504</v>
      </c>
      <c r="T49" s="276">
        <f t="shared" si="4"/>
        <v>0</v>
      </c>
      <c r="U49" s="276">
        <f t="shared" si="5"/>
        <v>7616.5908016375179</v>
      </c>
      <c r="V49" s="296">
        <v>99304.124447071488</v>
      </c>
      <c r="W49" s="259"/>
      <c r="Y49" s="259"/>
      <c r="Z49" s="259"/>
      <c r="AA49" s="259"/>
      <c r="AB49" s="259"/>
    </row>
    <row r="50" spans="1:32" s="298" customFormat="1" ht="17.850000000000001" customHeight="1">
      <c r="A50" s="292">
        <v>2</v>
      </c>
      <c r="B50" s="293" t="s">
        <v>400</v>
      </c>
      <c r="C50" s="262"/>
      <c r="D50" s="294"/>
      <c r="E50" s="274"/>
      <c r="F50" s="274"/>
      <c r="G50" s="294"/>
      <c r="H50" s="299"/>
      <c r="I50" s="295"/>
      <c r="J50" s="295"/>
      <c r="K50" s="295"/>
      <c r="L50" s="295"/>
      <c r="M50" s="295">
        <v>130112.62407664524</v>
      </c>
      <c r="N50" s="276">
        <f t="shared" si="3"/>
        <v>120843.72996991388</v>
      </c>
      <c r="O50" s="295">
        <v>23081.778142688774</v>
      </c>
      <c r="P50" s="295">
        <v>23081.778142688774</v>
      </c>
      <c r="Q50" s="295">
        <v>24258.947782800627</v>
      </c>
      <c r="R50" s="295">
        <v>24961</v>
      </c>
      <c r="S50" s="296">
        <v>25460.225901735703</v>
      </c>
      <c r="T50" s="276">
        <f t="shared" si="4"/>
        <v>0</v>
      </c>
      <c r="U50" s="276">
        <f t="shared" si="5"/>
        <v>9268.8941067313572</v>
      </c>
      <c r="V50" s="296">
        <v>120843.72996991388</v>
      </c>
      <c r="W50" s="259"/>
      <c r="Y50" s="259"/>
      <c r="Z50" s="259"/>
      <c r="AA50" s="259"/>
      <c r="AB50" s="259"/>
    </row>
    <row r="51" spans="1:32" s="298" customFormat="1" ht="17.850000000000001" customHeight="1">
      <c r="A51" s="292">
        <v>3</v>
      </c>
      <c r="B51" s="293" t="s">
        <v>226</v>
      </c>
      <c r="C51" s="262"/>
      <c r="D51" s="294"/>
      <c r="E51" s="274"/>
      <c r="F51" s="274"/>
      <c r="G51" s="294"/>
      <c r="H51" s="275"/>
      <c r="I51" s="295"/>
      <c r="J51" s="295"/>
      <c r="K51" s="295"/>
      <c r="L51" s="295"/>
      <c r="M51" s="295">
        <v>125336.23035430309</v>
      </c>
      <c r="N51" s="276">
        <f t="shared" si="3"/>
        <v>116407.90495093996</v>
      </c>
      <c r="O51" s="295">
        <v>22234.45328852021</v>
      </c>
      <c r="P51" s="295">
        <v>22234.45328852021</v>
      </c>
      <c r="Q51" s="295">
        <v>23368.409399437158</v>
      </c>
      <c r="R51" s="295">
        <v>24045</v>
      </c>
      <c r="S51" s="296">
        <v>24525.588974462389</v>
      </c>
      <c r="T51" s="276">
        <f t="shared" si="4"/>
        <v>0</v>
      </c>
      <c r="U51" s="276">
        <f t="shared" si="5"/>
        <v>8928.3254033631238</v>
      </c>
      <c r="V51" s="296">
        <v>116407.90495093996</v>
      </c>
      <c r="W51" s="259"/>
      <c r="Y51" s="259"/>
      <c r="Z51" s="259"/>
      <c r="AA51" s="259"/>
      <c r="AB51" s="259"/>
    </row>
    <row r="52" spans="1:32" s="298" customFormat="1" ht="17.850000000000001" customHeight="1">
      <c r="A52" s="292">
        <v>4</v>
      </c>
      <c r="B52" s="293" t="s">
        <v>243</v>
      </c>
      <c r="C52" s="262"/>
      <c r="D52" s="294"/>
      <c r="E52" s="274"/>
      <c r="F52" s="274"/>
      <c r="G52" s="294"/>
      <c r="H52" s="275"/>
      <c r="I52" s="295"/>
      <c r="J52" s="295"/>
      <c r="K52" s="295"/>
      <c r="L52" s="295"/>
      <c r="M52" s="295">
        <v>109686.66918050194</v>
      </c>
      <c r="N52" s="276">
        <f t="shared" si="3"/>
        <v>101872.41408909005</v>
      </c>
      <c r="O52" s="295">
        <v>19458.245356295807</v>
      </c>
      <c r="P52" s="295">
        <v>19458.245356295807</v>
      </c>
      <c r="Q52" s="295">
        <v>20450.614988378693</v>
      </c>
      <c r="R52" s="295">
        <v>21042</v>
      </c>
      <c r="S52" s="296">
        <v>21463.308388119745</v>
      </c>
      <c r="T52" s="276">
        <f t="shared" si="4"/>
        <v>0</v>
      </c>
      <c r="U52" s="276">
        <f t="shared" si="5"/>
        <v>7814.255091411891</v>
      </c>
      <c r="V52" s="296">
        <v>101872.41408909005</v>
      </c>
      <c r="W52" s="259"/>
      <c r="Y52" s="259"/>
      <c r="Z52" s="259"/>
      <c r="AA52" s="259"/>
      <c r="AB52" s="259"/>
    </row>
    <row r="53" spans="1:32" s="298" customFormat="1" ht="17.850000000000001" customHeight="1">
      <c r="A53" s="292">
        <v>5</v>
      </c>
      <c r="B53" s="293" t="s">
        <v>401</v>
      </c>
      <c r="C53" s="262"/>
      <c r="D53" s="294"/>
      <c r="E53" s="274"/>
      <c r="F53" s="274"/>
      <c r="G53" s="294"/>
      <c r="H53" s="275"/>
      <c r="I53" s="295"/>
      <c r="J53" s="295"/>
      <c r="K53" s="295"/>
      <c r="L53" s="295"/>
      <c r="M53" s="295">
        <v>82505.876987833079</v>
      </c>
      <c r="N53" s="276">
        <f t="shared" si="3"/>
        <v>76628.316497308333</v>
      </c>
      <c r="O53" s="295">
        <v>14636.414887607854</v>
      </c>
      <c r="P53" s="295">
        <v>14636.414887607854</v>
      </c>
      <c r="Q53" s="295">
        <v>15382.87138412481</v>
      </c>
      <c r="R53" s="295">
        <v>15828</v>
      </c>
      <c r="S53" s="296">
        <v>16144.61533796782</v>
      </c>
      <c r="T53" s="276">
        <f t="shared" si="4"/>
        <v>0</v>
      </c>
      <c r="U53" s="276">
        <f t="shared" si="5"/>
        <v>5877.5604905247455</v>
      </c>
      <c r="V53" s="296">
        <v>76628.316497308333</v>
      </c>
      <c r="W53" s="259"/>
      <c r="Y53" s="259"/>
      <c r="Z53" s="259"/>
      <c r="AA53" s="259"/>
      <c r="AB53" s="259"/>
    </row>
    <row r="54" spans="1:32" s="298" customFormat="1" ht="17.850000000000001" customHeight="1">
      <c r="A54" s="292">
        <v>6</v>
      </c>
      <c r="B54" s="293" t="s">
        <v>402</v>
      </c>
      <c r="C54" s="262"/>
      <c r="D54" s="294"/>
      <c r="E54" s="274"/>
      <c r="F54" s="274"/>
      <c r="G54" s="294"/>
      <c r="H54" s="275"/>
      <c r="I54" s="295"/>
      <c r="J54" s="295"/>
      <c r="K54" s="295"/>
      <c r="L54" s="295"/>
      <c r="M54" s="295">
        <v>107140.17711530295</v>
      </c>
      <c r="N54" s="276">
        <f t="shared" si="3"/>
        <v>99507.850513566649</v>
      </c>
      <c r="O54" s="295">
        <v>19006.501605002188</v>
      </c>
      <c r="P54" s="295">
        <v>19006.501605002188</v>
      </c>
      <c r="Q54" s="295">
        <v>19975.832326224492</v>
      </c>
      <c r="R54" s="295">
        <v>20554</v>
      </c>
      <c r="S54" s="296">
        <v>20965.014977337778</v>
      </c>
      <c r="T54" s="276">
        <f t="shared" si="4"/>
        <v>0</v>
      </c>
      <c r="U54" s="276">
        <f t="shared" si="5"/>
        <v>7632.3266017363057</v>
      </c>
      <c r="V54" s="296">
        <v>99507.850513566649</v>
      </c>
      <c r="W54" s="259"/>
      <c r="Y54" s="259"/>
      <c r="Z54" s="259"/>
      <c r="AA54" s="259"/>
      <c r="AB54" s="259"/>
    </row>
    <row r="55" spans="1:32" s="298" customFormat="1" ht="17.850000000000001" customHeight="1">
      <c r="A55" s="292">
        <v>7</v>
      </c>
      <c r="B55" s="293" t="s">
        <v>403</v>
      </c>
      <c r="C55" s="262"/>
      <c r="D55" s="294"/>
      <c r="E55" s="274"/>
      <c r="F55" s="274"/>
      <c r="G55" s="294"/>
      <c r="H55" s="275"/>
      <c r="I55" s="295"/>
      <c r="J55" s="295"/>
      <c r="K55" s="295"/>
      <c r="L55" s="295"/>
      <c r="M55" s="295">
        <v>103085.14996268708</v>
      </c>
      <c r="N55" s="276">
        <f t="shared" si="3"/>
        <v>95741.615695814427</v>
      </c>
      <c r="O55" s="295">
        <v>18287.146063881723</v>
      </c>
      <c r="P55" s="295">
        <v>18287.146063881723</v>
      </c>
      <c r="Q55" s="295">
        <v>19219.789685079999</v>
      </c>
      <c r="R55" s="295">
        <v>19776</v>
      </c>
      <c r="S55" s="296">
        <v>20171.533882970976</v>
      </c>
      <c r="T55" s="276">
        <f t="shared" si="4"/>
        <v>0</v>
      </c>
      <c r="U55" s="276">
        <f t="shared" si="5"/>
        <v>7343.5342668726516</v>
      </c>
      <c r="V55" s="296">
        <v>95741.615695814427</v>
      </c>
      <c r="W55" s="259"/>
      <c r="Y55" s="259"/>
      <c r="Z55" s="259"/>
      <c r="AA55" s="259"/>
      <c r="AB55" s="259"/>
    </row>
    <row r="56" spans="1:32" s="298" customFormat="1" ht="17.850000000000001" customHeight="1">
      <c r="A56" s="292">
        <v>8</v>
      </c>
      <c r="B56" s="293" t="s">
        <v>404</v>
      </c>
      <c r="C56" s="262"/>
      <c r="D56" s="294"/>
      <c r="E56" s="274"/>
      <c r="F56" s="274"/>
      <c r="G56" s="294"/>
      <c r="H56" s="275"/>
      <c r="I56" s="295"/>
      <c r="J56" s="295"/>
      <c r="K56" s="295"/>
      <c r="L56" s="295"/>
      <c r="M56" s="295">
        <v>93875.280989309889</v>
      </c>
      <c r="N56" s="276">
        <f t="shared" si="3"/>
        <v>87187.842208721268</v>
      </c>
      <c r="O56" s="295">
        <v>16653.329561637474</v>
      </c>
      <c r="P56" s="295">
        <v>16653.329561637474</v>
      </c>
      <c r="Q56" s="295">
        <v>17502.648615202092</v>
      </c>
      <c r="R56" s="295">
        <v>18009.172715086479</v>
      </c>
      <c r="S56" s="296">
        <v>18369.361755157752</v>
      </c>
      <c r="T56" s="276">
        <f t="shared" si="4"/>
        <v>0</v>
      </c>
      <c r="U56" s="276">
        <f t="shared" si="5"/>
        <v>6687.4387805886217</v>
      </c>
      <c r="V56" s="296">
        <v>87187.842208721268</v>
      </c>
      <c r="W56" s="259"/>
      <c r="Y56" s="259"/>
      <c r="Z56" s="259"/>
      <c r="AA56" s="259"/>
      <c r="AB56" s="259"/>
    </row>
    <row r="57" spans="1:32" s="298" customFormat="1" ht="17.850000000000001" customHeight="1">
      <c r="A57" s="292">
        <v>9</v>
      </c>
      <c r="B57" s="293" t="s">
        <v>225</v>
      </c>
      <c r="C57" s="262"/>
      <c r="D57" s="294"/>
      <c r="E57" s="274"/>
      <c r="F57" s="274"/>
      <c r="G57" s="294"/>
      <c r="H57" s="275"/>
      <c r="I57" s="295"/>
      <c r="J57" s="295"/>
      <c r="K57" s="295"/>
      <c r="L57" s="295"/>
      <c r="M57" s="295">
        <v>115440.94550841681</v>
      </c>
      <c r="N57" s="276">
        <f t="shared" si="3"/>
        <v>107216.8613726428</v>
      </c>
      <c r="O57" s="295">
        <v>20479.045071275174</v>
      </c>
      <c r="P57" s="295">
        <v>20479.045071275174</v>
      </c>
      <c r="Q57" s="295">
        <v>21523.475442599211</v>
      </c>
      <c r="R57" s="295">
        <v>22146</v>
      </c>
      <c r="S57" s="296">
        <v>22589.29578749324</v>
      </c>
      <c r="T57" s="276">
        <f t="shared" si="4"/>
        <v>0</v>
      </c>
      <c r="U57" s="276">
        <f t="shared" si="5"/>
        <v>8224.0841357740137</v>
      </c>
      <c r="V57" s="296">
        <v>107216.8613726428</v>
      </c>
      <c r="W57" s="259"/>
      <c r="Y57" s="259"/>
      <c r="Z57" s="259"/>
      <c r="AA57" s="259"/>
      <c r="AB57" s="259"/>
    </row>
    <row r="58" spans="1:32" s="298" customFormat="1" ht="17.850000000000001" customHeight="1">
      <c r="A58" s="292">
        <v>10</v>
      </c>
      <c r="B58" s="293" t="s">
        <v>405</v>
      </c>
      <c r="C58" s="262"/>
      <c r="D58" s="294"/>
      <c r="E58" s="274"/>
      <c r="F58" s="274"/>
      <c r="G58" s="294"/>
      <c r="H58" s="275"/>
      <c r="I58" s="295"/>
      <c r="J58" s="295"/>
      <c r="K58" s="295"/>
      <c r="L58" s="295"/>
      <c r="M58" s="295">
        <v>34265.330576290486</v>
      </c>
      <c r="N58" s="276">
        <f t="shared" si="3"/>
        <v>31824.842970017555</v>
      </c>
      <c r="O58" s="295">
        <v>6078.6166135726389</v>
      </c>
      <c r="P58" s="295">
        <v>6078.6166135726389</v>
      </c>
      <c r="Q58" s="295">
        <v>6388.6257856191951</v>
      </c>
      <c r="R58" s="295">
        <v>6574</v>
      </c>
      <c r="S58" s="296">
        <v>6704.9839572530818</v>
      </c>
      <c r="T58" s="276">
        <f t="shared" si="4"/>
        <v>0</v>
      </c>
      <c r="U58" s="276">
        <f t="shared" si="5"/>
        <v>2440.4876062729309</v>
      </c>
      <c r="V58" s="296">
        <v>31824.842970017555</v>
      </c>
      <c r="W58" s="259"/>
      <c r="Y58" s="259"/>
      <c r="Z58" s="259"/>
      <c r="AA58" s="259"/>
      <c r="AB58" s="259"/>
    </row>
    <row r="59" spans="1:32" s="268" customFormat="1">
      <c r="A59" s="300" t="s">
        <v>66</v>
      </c>
      <c r="B59" s="290" t="s">
        <v>406</v>
      </c>
      <c r="C59" s="262"/>
      <c r="D59" s="301"/>
      <c r="E59" s="274"/>
      <c r="F59" s="274"/>
      <c r="G59" s="301"/>
      <c r="H59" s="263"/>
      <c r="I59" s="302">
        <f>I60+I61+I69</f>
        <v>15231497.4</v>
      </c>
      <c r="J59" s="302">
        <f t="shared" ref="J59:V59" si="12">J60+J61+J69</f>
        <v>5307711.9000000004</v>
      </c>
      <c r="K59" s="302">
        <f t="shared" si="12"/>
        <v>3298117.41</v>
      </c>
      <c r="L59" s="302">
        <f t="shared" si="12"/>
        <v>648375.41</v>
      </c>
      <c r="M59" s="302">
        <f t="shared" si="12"/>
        <v>2753556.3689999999</v>
      </c>
      <c r="N59" s="302">
        <f t="shared" si="12"/>
        <v>2559341.105</v>
      </c>
      <c r="O59" s="302">
        <f t="shared" si="12"/>
        <v>510872</v>
      </c>
      <c r="P59" s="302">
        <f t="shared" si="12"/>
        <v>483647</v>
      </c>
      <c r="Q59" s="302">
        <f t="shared" si="12"/>
        <v>508313</v>
      </c>
      <c r="R59" s="302">
        <f t="shared" si="12"/>
        <v>523025.10499999998</v>
      </c>
      <c r="S59" s="302">
        <f t="shared" si="12"/>
        <v>533484</v>
      </c>
      <c r="T59" s="302">
        <f t="shared" si="12"/>
        <v>2404</v>
      </c>
      <c r="U59" s="302">
        <f t="shared" si="12"/>
        <v>196620.264</v>
      </c>
      <c r="V59" s="302">
        <f t="shared" si="12"/>
        <v>2559340.105</v>
      </c>
      <c r="W59" s="267"/>
      <c r="X59" s="266"/>
      <c r="Y59" s="259"/>
      <c r="Z59" s="259"/>
      <c r="AA59" s="259"/>
      <c r="AB59" s="259"/>
    </row>
    <row r="60" spans="1:32" s="268" customFormat="1" ht="39" customHeight="1">
      <c r="A60" s="261" t="s">
        <v>109</v>
      </c>
      <c r="B60" s="290" t="s">
        <v>1071</v>
      </c>
      <c r="C60" s="277"/>
      <c r="D60" s="261"/>
      <c r="E60" s="278"/>
      <c r="F60" s="278"/>
      <c r="G60" s="261"/>
      <c r="H60" s="263"/>
      <c r="I60" s="264"/>
      <c r="J60" s="264"/>
      <c r="K60" s="264"/>
      <c r="L60" s="264"/>
      <c r="M60" s="264">
        <v>94100</v>
      </c>
      <c r="N60" s="264">
        <f t="shared" si="3"/>
        <v>78232</v>
      </c>
      <c r="O60" s="264">
        <v>28932</v>
      </c>
      <c r="P60" s="264">
        <v>16700</v>
      </c>
      <c r="Q60" s="264">
        <v>13200</v>
      </c>
      <c r="R60" s="264">
        <v>9600</v>
      </c>
      <c r="S60" s="264">
        <v>9800</v>
      </c>
      <c r="T60" s="264">
        <f t="shared" si="4"/>
        <v>0</v>
      </c>
      <c r="U60" s="264">
        <f t="shared" si="5"/>
        <v>15868</v>
      </c>
      <c r="V60" s="291">
        <v>78232</v>
      </c>
      <c r="W60" s="267"/>
      <c r="Y60" s="267"/>
      <c r="Z60" s="267"/>
      <c r="AA60" s="267"/>
      <c r="AB60" s="267"/>
      <c r="AD60" s="266"/>
      <c r="AF60" s="266" t="e">
        <f>M59-#REF!-27225</f>
        <v>#REF!</v>
      </c>
    </row>
    <row r="61" spans="1:32" s="268" customFormat="1">
      <c r="A61" s="261" t="s">
        <v>110</v>
      </c>
      <c r="B61" s="290" t="s">
        <v>415</v>
      </c>
      <c r="C61" s="262"/>
      <c r="D61" s="261"/>
      <c r="E61" s="274"/>
      <c r="F61" s="274"/>
      <c r="G61" s="261"/>
      <c r="H61" s="263"/>
      <c r="I61" s="264">
        <f>SUM(I62:I68)</f>
        <v>0</v>
      </c>
      <c r="J61" s="264">
        <f t="shared" ref="J61:V61" si="13">SUM(J62:J68)</f>
        <v>0</v>
      </c>
      <c r="K61" s="264">
        <f t="shared" si="13"/>
        <v>0</v>
      </c>
      <c r="L61" s="264">
        <f t="shared" si="13"/>
        <v>0</v>
      </c>
      <c r="M61" s="264">
        <f t="shared" si="13"/>
        <v>16880</v>
      </c>
      <c r="N61" s="264">
        <f t="shared" si="13"/>
        <v>16880</v>
      </c>
      <c r="O61" s="264">
        <f t="shared" si="13"/>
        <v>0</v>
      </c>
      <c r="P61" s="264">
        <f t="shared" si="13"/>
        <v>16880</v>
      </c>
      <c r="Q61" s="264">
        <f t="shared" si="13"/>
        <v>0</v>
      </c>
      <c r="R61" s="264">
        <f t="shared" si="13"/>
        <v>0</v>
      </c>
      <c r="S61" s="264">
        <f t="shared" si="13"/>
        <v>0</v>
      </c>
      <c r="T61" s="264">
        <f t="shared" si="13"/>
        <v>0</v>
      </c>
      <c r="U61" s="264">
        <f t="shared" si="13"/>
        <v>0</v>
      </c>
      <c r="V61" s="264">
        <f t="shared" si="13"/>
        <v>16880</v>
      </c>
      <c r="W61" s="267"/>
      <c r="Y61" s="259"/>
      <c r="Z61" s="259"/>
      <c r="AA61" s="259"/>
      <c r="AB61" s="259"/>
      <c r="AD61" s="266"/>
      <c r="AF61" s="303" t="e">
        <f>#REF!-#REF!</f>
        <v>#REF!</v>
      </c>
    </row>
    <row r="62" spans="1:32" s="268" customFormat="1" ht="22.5" customHeight="1">
      <c r="A62" s="304">
        <v>1</v>
      </c>
      <c r="B62" s="273" t="s">
        <v>416</v>
      </c>
      <c r="C62" s="262" t="s">
        <v>39</v>
      </c>
      <c r="D62" s="260"/>
      <c r="E62" s="274"/>
      <c r="F62" s="274"/>
      <c r="G62" s="260"/>
      <c r="H62" s="275"/>
      <c r="I62" s="276"/>
      <c r="J62" s="276"/>
      <c r="K62" s="276"/>
      <c r="L62" s="276"/>
      <c r="M62" s="276">
        <v>11865</v>
      </c>
      <c r="N62" s="276">
        <f t="shared" si="3"/>
        <v>11865</v>
      </c>
      <c r="O62" s="276"/>
      <c r="P62" s="276">
        <v>11865</v>
      </c>
      <c r="Q62" s="276"/>
      <c r="R62" s="276"/>
      <c r="S62" s="291"/>
      <c r="T62" s="276">
        <f t="shared" si="4"/>
        <v>0</v>
      </c>
      <c r="U62" s="276">
        <f t="shared" si="5"/>
        <v>0</v>
      </c>
      <c r="V62" s="291">
        <v>11865</v>
      </c>
      <c r="W62" s="267"/>
      <c r="Y62" s="259">
        <v>1</v>
      </c>
      <c r="Z62" s="259"/>
      <c r="AA62" s="259"/>
      <c r="AB62" s="259"/>
      <c r="AD62" s="266"/>
    </row>
    <row r="63" spans="1:32" s="268" customFormat="1" ht="25.5" customHeight="1">
      <c r="A63" s="305">
        <v>2</v>
      </c>
      <c r="B63" s="273" t="s">
        <v>417</v>
      </c>
      <c r="C63" s="262" t="s">
        <v>39</v>
      </c>
      <c r="D63" s="260"/>
      <c r="E63" s="274"/>
      <c r="F63" s="274"/>
      <c r="G63" s="260"/>
      <c r="H63" s="275"/>
      <c r="I63" s="276"/>
      <c r="J63" s="276"/>
      <c r="K63" s="276"/>
      <c r="L63" s="276"/>
      <c r="M63" s="276">
        <v>227</v>
      </c>
      <c r="N63" s="276">
        <f t="shared" si="3"/>
        <v>227</v>
      </c>
      <c r="O63" s="276"/>
      <c r="P63" s="276">
        <v>227</v>
      </c>
      <c r="Q63" s="276"/>
      <c r="R63" s="276"/>
      <c r="S63" s="291"/>
      <c r="T63" s="276">
        <f t="shared" si="4"/>
        <v>0</v>
      </c>
      <c r="U63" s="276">
        <f t="shared" si="5"/>
        <v>0</v>
      </c>
      <c r="V63" s="291">
        <v>227</v>
      </c>
      <c r="W63" s="267"/>
      <c r="Y63" s="259">
        <v>1</v>
      </c>
      <c r="Z63" s="259"/>
      <c r="AA63" s="259"/>
      <c r="AB63" s="259"/>
      <c r="AD63" s="266"/>
      <c r="AF63" s="266"/>
    </row>
    <row r="64" spans="1:32" s="268" customFormat="1" ht="45.75" customHeight="1">
      <c r="A64" s="305">
        <v>3</v>
      </c>
      <c r="B64" s="273" t="s">
        <v>418</v>
      </c>
      <c r="C64" s="262" t="s">
        <v>39</v>
      </c>
      <c r="D64" s="260"/>
      <c r="E64" s="274"/>
      <c r="F64" s="274"/>
      <c r="G64" s="260"/>
      <c r="H64" s="275"/>
      <c r="I64" s="276"/>
      <c r="J64" s="276"/>
      <c r="K64" s="276"/>
      <c r="L64" s="276"/>
      <c r="M64" s="276">
        <v>80</v>
      </c>
      <c r="N64" s="276">
        <f t="shared" si="3"/>
        <v>80</v>
      </c>
      <c r="O64" s="276"/>
      <c r="P64" s="276">
        <v>80</v>
      </c>
      <c r="Q64" s="276"/>
      <c r="R64" s="276"/>
      <c r="S64" s="291"/>
      <c r="T64" s="276">
        <f t="shared" si="4"/>
        <v>0</v>
      </c>
      <c r="U64" s="276">
        <f t="shared" si="5"/>
        <v>0</v>
      </c>
      <c r="V64" s="291">
        <v>80</v>
      </c>
      <c r="W64" s="267"/>
      <c r="Y64" s="259">
        <v>1</v>
      </c>
      <c r="Z64" s="259"/>
      <c r="AA64" s="259"/>
      <c r="AB64" s="259"/>
    </row>
    <row r="65" spans="1:28" s="268" customFormat="1" ht="42" customHeight="1">
      <c r="A65" s="305">
        <v>4</v>
      </c>
      <c r="B65" s="273" t="s">
        <v>419</v>
      </c>
      <c r="C65" s="262" t="s">
        <v>39</v>
      </c>
      <c r="D65" s="260"/>
      <c r="E65" s="274"/>
      <c r="F65" s="274"/>
      <c r="G65" s="260"/>
      <c r="H65" s="275"/>
      <c r="I65" s="276"/>
      <c r="J65" s="276"/>
      <c r="K65" s="276"/>
      <c r="L65" s="276"/>
      <c r="M65" s="276">
        <v>1222</v>
      </c>
      <c r="N65" s="276">
        <f t="shared" si="3"/>
        <v>1222</v>
      </c>
      <c r="O65" s="276"/>
      <c r="P65" s="276">
        <v>1222</v>
      </c>
      <c r="Q65" s="276"/>
      <c r="R65" s="276"/>
      <c r="S65" s="291"/>
      <c r="T65" s="276">
        <f t="shared" si="4"/>
        <v>0</v>
      </c>
      <c r="U65" s="276">
        <f t="shared" si="5"/>
        <v>0</v>
      </c>
      <c r="V65" s="291">
        <v>1222</v>
      </c>
      <c r="W65" s="267"/>
      <c r="Y65" s="259">
        <v>1</v>
      </c>
      <c r="Z65" s="259"/>
      <c r="AA65" s="259"/>
      <c r="AB65" s="259"/>
    </row>
    <row r="66" spans="1:28" s="268" customFormat="1" ht="31.5" customHeight="1">
      <c r="A66" s="305">
        <v>5</v>
      </c>
      <c r="B66" s="273" t="s">
        <v>420</v>
      </c>
      <c r="C66" s="262" t="s">
        <v>39</v>
      </c>
      <c r="D66" s="260"/>
      <c r="E66" s="274"/>
      <c r="F66" s="274"/>
      <c r="G66" s="260"/>
      <c r="H66" s="275"/>
      <c r="I66" s="276"/>
      <c r="J66" s="276"/>
      <c r="K66" s="276"/>
      <c r="L66" s="276"/>
      <c r="M66" s="276">
        <v>902</v>
      </c>
      <c r="N66" s="276">
        <f t="shared" si="3"/>
        <v>902</v>
      </c>
      <c r="O66" s="276"/>
      <c r="P66" s="276">
        <v>902</v>
      </c>
      <c r="Q66" s="276"/>
      <c r="R66" s="276"/>
      <c r="S66" s="291"/>
      <c r="T66" s="276">
        <f t="shared" si="4"/>
        <v>0</v>
      </c>
      <c r="U66" s="276">
        <f t="shared" si="5"/>
        <v>0</v>
      </c>
      <c r="V66" s="291">
        <v>902</v>
      </c>
      <c r="W66" s="267"/>
      <c r="Y66" s="259">
        <v>1</v>
      </c>
      <c r="Z66" s="259"/>
      <c r="AA66" s="259"/>
      <c r="AB66" s="259"/>
    </row>
    <row r="67" spans="1:28" s="268" customFormat="1" ht="93.75" customHeight="1">
      <c r="A67" s="305">
        <v>6</v>
      </c>
      <c r="B67" s="273" t="s">
        <v>421</v>
      </c>
      <c r="C67" s="262" t="s">
        <v>39</v>
      </c>
      <c r="D67" s="260"/>
      <c r="E67" s="274"/>
      <c r="F67" s="274"/>
      <c r="G67" s="260"/>
      <c r="H67" s="275"/>
      <c r="I67" s="276"/>
      <c r="J67" s="276"/>
      <c r="K67" s="276"/>
      <c r="L67" s="276"/>
      <c r="M67" s="276">
        <v>2500</v>
      </c>
      <c r="N67" s="276">
        <f t="shared" si="3"/>
        <v>2500</v>
      </c>
      <c r="O67" s="276"/>
      <c r="P67" s="276">
        <v>2500</v>
      </c>
      <c r="Q67" s="276"/>
      <c r="R67" s="276"/>
      <c r="S67" s="291"/>
      <c r="T67" s="276">
        <f t="shared" si="4"/>
        <v>0</v>
      </c>
      <c r="U67" s="276">
        <f t="shared" si="5"/>
        <v>0</v>
      </c>
      <c r="V67" s="291">
        <v>2500</v>
      </c>
      <c r="W67" s="267"/>
      <c r="Y67" s="259">
        <v>1</v>
      </c>
      <c r="Z67" s="259"/>
      <c r="AA67" s="259"/>
      <c r="AB67" s="259"/>
    </row>
    <row r="68" spans="1:28" s="268" customFormat="1" ht="26.45" customHeight="1">
      <c r="A68" s="305">
        <v>7</v>
      </c>
      <c r="B68" s="273" t="s">
        <v>175</v>
      </c>
      <c r="C68" s="262" t="s">
        <v>38</v>
      </c>
      <c r="D68" s="260"/>
      <c r="E68" s="274"/>
      <c r="F68" s="274"/>
      <c r="G68" s="260"/>
      <c r="H68" s="275"/>
      <c r="I68" s="276"/>
      <c r="J68" s="276"/>
      <c r="K68" s="276"/>
      <c r="L68" s="276"/>
      <c r="M68" s="276">
        <v>84</v>
      </c>
      <c r="N68" s="276">
        <f t="shared" si="3"/>
        <v>84</v>
      </c>
      <c r="O68" s="276"/>
      <c r="P68" s="276">
        <v>84</v>
      </c>
      <c r="Q68" s="276"/>
      <c r="R68" s="276"/>
      <c r="S68" s="291"/>
      <c r="T68" s="276">
        <f t="shared" si="4"/>
        <v>0</v>
      </c>
      <c r="U68" s="276">
        <f t="shared" si="5"/>
        <v>0</v>
      </c>
      <c r="V68" s="291">
        <v>84</v>
      </c>
      <c r="W68" s="267"/>
      <c r="Y68" s="259">
        <v>1</v>
      </c>
      <c r="Z68" s="259"/>
      <c r="AA68" s="259"/>
      <c r="AB68" s="259"/>
    </row>
    <row r="69" spans="1:28" s="268" customFormat="1" ht="26.45" customHeight="1">
      <c r="A69" s="261" t="s">
        <v>414</v>
      </c>
      <c r="B69" s="290" t="s">
        <v>427</v>
      </c>
      <c r="C69" s="262"/>
      <c r="D69" s="261"/>
      <c r="E69" s="274"/>
      <c r="F69" s="274"/>
      <c r="G69" s="261"/>
      <c r="H69" s="263"/>
      <c r="I69" s="264">
        <f t="shared" ref="I69:V69" si="14">I70+I86+I108+I148+I155+I172+I180+I185+I190+I195+I297+I316+I322</f>
        <v>15231497.4</v>
      </c>
      <c r="J69" s="264">
        <f t="shared" si="14"/>
        <v>5307711.9000000004</v>
      </c>
      <c r="K69" s="264">
        <f t="shared" si="14"/>
        <v>3298117.41</v>
      </c>
      <c r="L69" s="264">
        <f t="shared" si="14"/>
        <v>648375.41</v>
      </c>
      <c r="M69" s="264">
        <f t="shared" si="14"/>
        <v>2642576.3689999999</v>
      </c>
      <c r="N69" s="264">
        <f t="shared" si="14"/>
        <v>2464229.105</v>
      </c>
      <c r="O69" s="264">
        <f t="shared" si="14"/>
        <v>481940</v>
      </c>
      <c r="P69" s="264">
        <f t="shared" si="14"/>
        <v>450067</v>
      </c>
      <c r="Q69" s="264">
        <f t="shared" si="14"/>
        <v>495113</v>
      </c>
      <c r="R69" s="264">
        <f t="shared" si="14"/>
        <v>513425.10499999998</v>
      </c>
      <c r="S69" s="264">
        <f t="shared" si="14"/>
        <v>523684</v>
      </c>
      <c r="T69" s="264">
        <f t="shared" si="14"/>
        <v>2404</v>
      </c>
      <c r="U69" s="264">
        <f t="shared" si="14"/>
        <v>180752.264</v>
      </c>
      <c r="V69" s="264">
        <f t="shared" si="14"/>
        <v>2464228.105</v>
      </c>
      <c r="W69" s="267"/>
      <c r="Y69" s="259"/>
      <c r="Z69" s="259"/>
      <c r="AA69" s="259"/>
      <c r="AB69" s="259"/>
    </row>
    <row r="70" spans="1:28" s="268" customFormat="1" ht="26.45" customHeight="1">
      <c r="A70" s="261" t="s">
        <v>120</v>
      </c>
      <c r="B70" s="290" t="s">
        <v>428</v>
      </c>
      <c r="C70" s="262"/>
      <c r="D70" s="261"/>
      <c r="E70" s="274"/>
      <c r="F70" s="274"/>
      <c r="G70" s="261"/>
      <c r="H70" s="263"/>
      <c r="I70" s="264">
        <f>I71+I73+I84</f>
        <v>285051</v>
      </c>
      <c r="J70" s="264">
        <f t="shared" ref="J70:V70" si="15">J71+J73+J84</f>
        <v>161051</v>
      </c>
      <c r="K70" s="264">
        <f t="shared" si="15"/>
        <v>45757</v>
      </c>
      <c r="L70" s="264">
        <f t="shared" si="15"/>
        <v>10757</v>
      </c>
      <c r="M70" s="264">
        <f t="shared" si="15"/>
        <v>141423</v>
      </c>
      <c r="N70" s="264">
        <f t="shared" si="15"/>
        <v>137836.79999999999</v>
      </c>
      <c r="O70" s="264">
        <f t="shared" si="15"/>
        <v>22923</v>
      </c>
      <c r="P70" s="264">
        <f t="shared" si="15"/>
        <v>27887</v>
      </c>
      <c r="Q70" s="264">
        <f t="shared" si="15"/>
        <v>58327</v>
      </c>
      <c r="R70" s="264">
        <f t="shared" si="15"/>
        <v>24699.8</v>
      </c>
      <c r="S70" s="264">
        <f t="shared" si="15"/>
        <v>4000</v>
      </c>
      <c r="T70" s="264">
        <f t="shared" si="15"/>
        <v>0</v>
      </c>
      <c r="U70" s="264">
        <f t="shared" si="15"/>
        <v>3586.2</v>
      </c>
      <c r="V70" s="264">
        <f t="shared" si="15"/>
        <v>137836.79999999999</v>
      </c>
      <c r="W70" s="267"/>
      <c r="Y70" s="259"/>
      <c r="Z70" s="259"/>
      <c r="AA70" s="259"/>
      <c r="AB70" s="259"/>
    </row>
    <row r="71" spans="1:28" s="268" customFormat="1" ht="40.9" customHeight="1">
      <c r="A71" s="271" t="s">
        <v>408</v>
      </c>
      <c r="B71" s="272" t="s">
        <v>35</v>
      </c>
      <c r="C71" s="262"/>
      <c r="D71" s="261"/>
      <c r="E71" s="274"/>
      <c r="F71" s="274"/>
      <c r="G71" s="261"/>
      <c r="H71" s="263"/>
      <c r="I71" s="264">
        <f>I72</f>
        <v>46351</v>
      </c>
      <c r="J71" s="264">
        <f t="shared" ref="J71:V71" si="16">J72</f>
        <v>11351</v>
      </c>
      <c r="K71" s="264">
        <f t="shared" si="16"/>
        <v>45557</v>
      </c>
      <c r="L71" s="264">
        <f t="shared" si="16"/>
        <v>10557</v>
      </c>
      <c r="M71" s="264">
        <f t="shared" si="16"/>
        <v>487</v>
      </c>
      <c r="N71" s="264">
        <f t="shared" si="16"/>
        <v>487</v>
      </c>
      <c r="O71" s="264">
        <f t="shared" si="16"/>
        <v>0</v>
      </c>
      <c r="P71" s="264">
        <f t="shared" si="16"/>
        <v>487</v>
      </c>
      <c r="Q71" s="264">
        <f t="shared" si="16"/>
        <v>0</v>
      </c>
      <c r="R71" s="264">
        <f t="shared" si="16"/>
        <v>0</v>
      </c>
      <c r="S71" s="264">
        <f t="shared" si="16"/>
        <v>0</v>
      </c>
      <c r="T71" s="264">
        <f t="shared" si="16"/>
        <v>0</v>
      </c>
      <c r="U71" s="264">
        <f t="shared" si="16"/>
        <v>0</v>
      </c>
      <c r="V71" s="264">
        <f t="shared" si="16"/>
        <v>487</v>
      </c>
      <c r="W71" s="267"/>
      <c r="Y71" s="259"/>
      <c r="Z71" s="259"/>
      <c r="AA71" s="259"/>
      <c r="AB71" s="259"/>
    </row>
    <row r="72" spans="1:28" s="298" customFormat="1" ht="36" customHeight="1">
      <c r="A72" s="260">
        <v>1</v>
      </c>
      <c r="B72" s="273" t="s">
        <v>429</v>
      </c>
      <c r="C72" s="262" t="s">
        <v>39</v>
      </c>
      <c r="D72" s="260" t="s">
        <v>627</v>
      </c>
      <c r="E72" s="274">
        <v>2012</v>
      </c>
      <c r="F72" s="274">
        <v>2015</v>
      </c>
      <c r="G72" s="260"/>
      <c r="H72" s="275" t="s">
        <v>657</v>
      </c>
      <c r="I72" s="276">
        <v>46351</v>
      </c>
      <c r="J72" s="276">
        <f>I72-35000</f>
        <v>11351</v>
      </c>
      <c r="K72" s="276">
        <v>45557</v>
      </c>
      <c r="L72" s="276">
        <v>10557</v>
      </c>
      <c r="M72" s="276">
        <v>487</v>
      </c>
      <c r="N72" s="276">
        <f t="shared" si="3"/>
        <v>487</v>
      </c>
      <c r="O72" s="276"/>
      <c r="P72" s="276">
        <v>487</v>
      </c>
      <c r="Q72" s="276"/>
      <c r="R72" s="276"/>
      <c r="S72" s="296"/>
      <c r="T72" s="276">
        <f t="shared" si="4"/>
        <v>0</v>
      </c>
      <c r="U72" s="276">
        <f t="shared" si="5"/>
        <v>0</v>
      </c>
      <c r="V72" s="296">
        <v>487</v>
      </c>
      <c r="W72" s="259"/>
      <c r="Y72" s="259">
        <v>1</v>
      </c>
      <c r="Z72" s="259"/>
      <c r="AA72" s="259"/>
      <c r="AB72" s="259"/>
    </row>
    <row r="73" spans="1:28" s="268" customFormat="1" ht="37.9" customHeight="1">
      <c r="A73" s="271" t="s">
        <v>412</v>
      </c>
      <c r="B73" s="272" t="s">
        <v>36</v>
      </c>
      <c r="C73" s="262"/>
      <c r="D73" s="261"/>
      <c r="E73" s="274"/>
      <c r="F73" s="274"/>
      <c r="G73" s="261"/>
      <c r="H73" s="263"/>
      <c r="I73" s="264">
        <f>I74+I82</f>
        <v>229100</v>
      </c>
      <c r="J73" s="264">
        <f t="shared" ref="J73:V73" si="17">J74+J82</f>
        <v>140100</v>
      </c>
      <c r="K73" s="264">
        <f t="shared" si="17"/>
        <v>200</v>
      </c>
      <c r="L73" s="264">
        <f t="shared" si="17"/>
        <v>200</v>
      </c>
      <c r="M73" s="264">
        <f t="shared" si="17"/>
        <v>139400</v>
      </c>
      <c r="N73" s="264">
        <f t="shared" si="17"/>
        <v>137349.79999999999</v>
      </c>
      <c r="O73" s="264">
        <f t="shared" si="17"/>
        <v>22923</v>
      </c>
      <c r="P73" s="264">
        <f t="shared" si="17"/>
        <v>27400</v>
      </c>
      <c r="Q73" s="264">
        <f t="shared" si="17"/>
        <v>58327</v>
      </c>
      <c r="R73" s="264">
        <f t="shared" si="17"/>
        <v>24699.8</v>
      </c>
      <c r="S73" s="264">
        <f t="shared" si="17"/>
        <v>4000</v>
      </c>
      <c r="T73" s="264">
        <f t="shared" si="17"/>
        <v>0</v>
      </c>
      <c r="U73" s="264">
        <f t="shared" si="17"/>
        <v>2050.1999999999998</v>
      </c>
      <c r="V73" s="264">
        <f t="shared" si="17"/>
        <v>137349.79999999999</v>
      </c>
      <c r="W73" s="267"/>
      <c r="Y73" s="259"/>
      <c r="Z73" s="259"/>
      <c r="AA73" s="259"/>
      <c r="AB73" s="259"/>
    </row>
    <row r="74" spans="1:28" s="288" customFormat="1" ht="37.9" customHeight="1">
      <c r="A74" s="279" t="s">
        <v>96</v>
      </c>
      <c r="B74" s="280" t="s">
        <v>123</v>
      </c>
      <c r="C74" s="306"/>
      <c r="D74" s="282"/>
      <c r="E74" s="307"/>
      <c r="F74" s="307"/>
      <c r="G74" s="282"/>
      <c r="H74" s="284"/>
      <c r="I74" s="285">
        <f>SUM(I75:I81)</f>
        <v>218600</v>
      </c>
      <c r="J74" s="285">
        <f t="shared" ref="J74:V74" si="18">SUM(J75:J81)</f>
        <v>129600</v>
      </c>
      <c r="K74" s="285">
        <f t="shared" si="18"/>
        <v>200</v>
      </c>
      <c r="L74" s="285">
        <f t="shared" si="18"/>
        <v>200</v>
      </c>
      <c r="M74" s="285">
        <f t="shared" si="18"/>
        <v>129400</v>
      </c>
      <c r="N74" s="285">
        <f t="shared" si="18"/>
        <v>127349.8</v>
      </c>
      <c r="O74" s="285">
        <f t="shared" si="18"/>
        <v>22923</v>
      </c>
      <c r="P74" s="285">
        <f t="shared" si="18"/>
        <v>27400</v>
      </c>
      <c r="Q74" s="285">
        <f t="shared" si="18"/>
        <v>57327</v>
      </c>
      <c r="R74" s="285">
        <f t="shared" si="18"/>
        <v>19699.8</v>
      </c>
      <c r="S74" s="285">
        <f t="shared" si="18"/>
        <v>0</v>
      </c>
      <c r="T74" s="285">
        <f t="shared" si="18"/>
        <v>0</v>
      </c>
      <c r="U74" s="285">
        <f t="shared" si="18"/>
        <v>2050.1999999999998</v>
      </c>
      <c r="V74" s="285">
        <f t="shared" si="18"/>
        <v>127349.8</v>
      </c>
      <c r="W74" s="287"/>
      <c r="Y74" s="308"/>
      <c r="Z74" s="308"/>
      <c r="AA74" s="308"/>
      <c r="AB74" s="308"/>
    </row>
    <row r="75" spans="1:28" s="298" customFormat="1" ht="45.75" customHeight="1">
      <c r="A75" s="260">
        <v>1</v>
      </c>
      <c r="B75" s="273" t="s">
        <v>430</v>
      </c>
      <c r="C75" s="262" t="s">
        <v>39</v>
      </c>
      <c r="D75" s="260" t="s">
        <v>625</v>
      </c>
      <c r="E75" s="274">
        <v>2020</v>
      </c>
      <c r="F75" s="274">
        <v>2022</v>
      </c>
      <c r="G75" s="260" t="s">
        <v>658</v>
      </c>
      <c r="H75" s="275" t="s">
        <v>659</v>
      </c>
      <c r="I75" s="276">
        <v>14600</v>
      </c>
      <c r="J75" s="276">
        <v>14600</v>
      </c>
      <c r="K75" s="276">
        <v>200</v>
      </c>
      <c r="L75" s="276">
        <v>200</v>
      </c>
      <c r="M75" s="276">
        <v>14400</v>
      </c>
      <c r="N75" s="276">
        <f t="shared" si="3"/>
        <v>14100</v>
      </c>
      <c r="O75" s="276">
        <v>3000</v>
      </c>
      <c r="P75" s="276">
        <v>10000</v>
      </c>
      <c r="Q75" s="276">
        <v>1100</v>
      </c>
      <c r="R75" s="276"/>
      <c r="S75" s="296"/>
      <c r="T75" s="276">
        <f t="shared" si="4"/>
        <v>0</v>
      </c>
      <c r="U75" s="276">
        <f t="shared" si="5"/>
        <v>300</v>
      </c>
      <c r="V75" s="296">
        <v>14100</v>
      </c>
      <c r="W75" s="259"/>
      <c r="Y75" s="259"/>
      <c r="Z75" s="259">
        <v>1</v>
      </c>
      <c r="AA75" s="259"/>
      <c r="AB75" s="259"/>
    </row>
    <row r="76" spans="1:28" s="298" customFormat="1" ht="45.75" customHeight="1">
      <c r="A76" s="260">
        <v>2</v>
      </c>
      <c r="B76" s="273" t="s">
        <v>431</v>
      </c>
      <c r="C76" s="262" t="s">
        <v>39</v>
      </c>
      <c r="D76" s="260" t="s">
        <v>229</v>
      </c>
      <c r="E76" s="274">
        <v>2021</v>
      </c>
      <c r="F76" s="274">
        <v>2023</v>
      </c>
      <c r="G76" s="260"/>
      <c r="H76" s="275" t="s">
        <v>660</v>
      </c>
      <c r="I76" s="276">
        <v>5000</v>
      </c>
      <c r="J76" s="276">
        <v>5000</v>
      </c>
      <c r="K76" s="276"/>
      <c r="L76" s="276"/>
      <c r="M76" s="276">
        <v>5000</v>
      </c>
      <c r="N76" s="276">
        <f t="shared" si="3"/>
        <v>4950</v>
      </c>
      <c r="O76" s="276">
        <v>400</v>
      </c>
      <c r="P76" s="276">
        <v>4000</v>
      </c>
      <c r="Q76" s="276">
        <v>550</v>
      </c>
      <c r="R76" s="276"/>
      <c r="S76" s="296"/>
      <c r="T76" s="276">
        <f t="shared" si="4"/>
        <v>0</v>
      </c>
      <c r="U76" s="276">
        <f t="shared" si="5"/>
        <v>50</v>
      </c>
      <c r="V76" s="296">
        <v>4950</v>
      </c>
      <c r="W76" s="259"/>
      <c r="Y76" s="259"/>
      <c r="Z76" s="259">
        <v>1</v>
      </c>
      <c r="AA76" s="259"/>
      <c r="AB76" s="259"/>
    </row>
    <row r="77" spans="1:28" s="298" customFormat="1" ht="51" customHeight="1">
      <c r="A77" s="260">
        <v>3</v>
      </c>
      <c r="B77" s="273" t="s">
        <v>432</v>
      </c>
      <c r="C77" s="262" t="s">
        <v>39</v>
      </c>
      <c r="D77" s="260" t="s">
        <v>625</v>
      </c>
      <c r="E77" s="274">
        <v>2021</v>
      </c>
      <c r="F77" s="274">
        <v>2023</v>
      </c>
      <c r="G77" s="260"/>
      <c r="H77" s="275" t="s">
        <v>661</v>
      </c>
      <c r="I77" s="276">
        <v>8000</v>
      </c>
      <c r="J77" s="276">
        <v>8000</v>
      </c>
      <c r="K77" s="276"/>
      <c r="L77" s="276"/>
      <c r="M77" s="276">
        <v>8000</v>
      </c>
      <c r="N77" s="276">
        <f t="shared" si="3"/>
        <v>7957</v>
      </c>
      <c r="O77" s="276">
        <v>400</v>
      </c>
      <c r="P77" s="276">
        <v>4000</v>
      </c>
      <c r="Q77" s="276">
        <v>3200</v>
      </c>
      <c r="R77" s="276">
        <v>357</v>
      </c>
      <c r="S77" s="296"/>
      <c r="T77" s="276">
        <f t="shared" si="4"/>
        <v>0</v>
      </c>
      <c r="U77" s="276">
        <f t="shared" si="5"/>
        <v>43</v>
      </c>
      <c r="V77" s="296">
        <v>7957</v>
      </c>
      <c r="W77" s="259"/>
      <c r="Y77" s="259"/>
      <c r="Z77" s="259">
        <v>1</v>
      </c>
      <c r="AA77" s="259"/>
      <c r="AB77" s="259"/>
    </row>
    <row r="78" spans="1:28" s="298" customFormat="1" ht="54" customHeight="1">
      <c r="A78" s="260">
        <v>4</v>
      </c>
      <c r="B78" s="273" t="s">
        <v>433</v>
      </c>
      <c r="C78" s="262" t="s">
        <v>39</v>
      </c>
      <c r="D78" s="260" t="s">
        <v>229</v>
      </c>
      <c r="E78" s="274">
        <v>2023</v>
      </c>
      <c r="F78" s="274">
        <v>2024</v>
      </c>
      <c r="G78" s="260"/>
      <c r="H78" s="275" t="s">
        <v>662</v>
      </c>
      <c r="I78" s="276">
        <v>6000</v>
      </c>
      <c r="J78" s="276">
        <v>6000</v>
      </c>
      <c r="K78" s="276"/>
      <c r="L78" s="276"/>
      <c r="M78" s="276">
        <v>6000</v>
      </c>
      <c r="N78" s="276">
        <f t="shared" si="3"/>
        <v>5620</v>
      </c>
      <c r="O78" s="276"/>
      <c r="P78" s="276">
        <v>200</v>
      </c>
      <c r="Q78" s="276">
        <v>2000</v>
      </c>
      <c r="R78" s="276">
        <v>3420</v>
      </c>
      <c r="S78" s="296"/>
      <c r="T78" s="276">
        <f t="shared" si="4"/>
        <v>0</v>
      </c>
      <c r="U78" s="276">
        <f t="shared" si="5"/>
        <v>380</v>
      </c>
      <c r="V78" s="296">
        <v>5620</v>
      </c>
      <c r="W78" s="259"/>
      <c r="Y78" s="259"/>
      <c r="Z78" s="259">
        <v>1</v>
      </c>
      <c r="AA78" s="259"/>
      <c r="AB78" s="259"/>
    </row>
    <row r="79" spans="1:28" s="298" customFormat="1" ht="54" customHeight="1">
      <c r="A79" s="260">
        <v>5</v>
      </c>
      <c r="B79" s="273" t="s">
        <v>434</v>
      </c>
      <c r="C79" s="262" t="s">
        <v>39</v>
      </c>
      <c r="D79" s="260" t="s">
        <v>625</v>
      </c>
      <c r="E79" s="274">
        <v>2022</v>
      </c>
      <c r="F79" s="274">
        <v>2023</v>
      </c>
      <c r="G79" s="260" t="s">
        <v>663</v>
      </c>
      <c r="H79" s="275" t="s">
        <v>664</v>
      </c>
      <c r="I79" s="276">
        <v>4000</v>
      </c>
      <c r="J79" s="276">
        <v>4000</v>
      </c>
      <c r="K79" s="276"/>
      <c r="L79" s="276"/>
      <c r="M79" s="276">
        <v>4000</v>
      </c>
      <c r="N79" s="276">
        <f t="shared" si="3"/>
        <v>3822.8</v>
      </c>
      <c r="O79" s="276"/>
      <c r="P79" s="276">
        <v>1000</v>
      </c>
      <c r="Q79" s="276">
        <v>2800</v>
      </c>
      <c r="R79" s="276">
        <v>22.8</v>
      </c>
      <c r="S79" s="296"/>
      <c r="T79" s="276">
        <f t="shared" si="4"/>
        <v>0</v>
      </c>
      <c r="U79" s="276">
        <f t="shared" si="5"/>
        <v>177.19999999999982</v>
      </c>
      <c r="V79" s="296">
        <v>3822.8</v>
      </c>
      <c r="W79" s="259"/>
      <c r="Y79" s="259"/>
      <c r="Z79" s="259">
        <v>1</v>
      </c>
      <c r="AA79" s="259"/>
      <c r="AB79" s="259"/>
    </row>
    <row r="80" spans="1:28" s="298" customFormat="1" ht="54" customHeight="1">
      <c r="A80" s="260">
        <v>6</v>
      </c>
      <c r="B80" s="273" t="s">
        <v>435</v>
      </c>
      <c r="C80" s="262" t="s">
        <v>39</v>
      </c>
      <c r="D80" s="260"/>
      <c r="E80" s="274">
        <v>2022</v>
      </c>
      <c r="F80" s="274">
        <v>2024</v>
      </c>
      <c r="G80" s="260"/>
      <c r="H80" s="275" t="s">
        <v>665</v>
      </c>
      <c r="I80" s="276">
        <v>35000</v>
      </c>
      <c r="J80" s="276">
        <v>35000</v>
      </c>
      <c r="K80" s="276"/>
      <c r="L80" s="276"/>
      <c r="M80" s="276">
        <v>35000</v>
      </c>
      <c r="N80" s="276">
        <f t="shared" si="3"/>
        <v>33900</v>
      </c>
      <c r="O80" s="276"/>
      <c r="P80" s="276">
        <v>8000</v>
      </c>
      <c r="Q80" s="276">
        <v>10000</v>
      </c>
      <c r="R80" s="276">
        <v>15900</v>
      </c>
      <c r="S80" s="296"/>
      <c r="T80" s="276">
        <f t="shared" si="4"/>
        <v>0</v>
      </c>
      <c r="U80" s="276">
        <f t="shared" si="5"/>
        <v>1100</v>
      </c>
      <c r="V80" s="296">
        <v>33900</v>
      </c>
      <c r="W80" s="259"/>
      <c r="Y80" s="259"/>
      <c r="Z80" s="259">
        <v>1</v>
      </c>
      <c r="AA80" s="259"/>
      <c r="AB80" s="259"/>
    </row>
    <row r="81" spans="1:28" s="298" customFormat="1" ht="54" customHeight="1">
      <c r="A81" s="260">
        <v>7</v>
      </c>
      <c r="B81" s="273" t="s">
        <v>436</v>
      </c>
      <c r="C81" s="262" t="s">
        <v>39</v>
      </c>
      <c r="D81" s="260" t="s">
        <v>625</v>
      </c>
      <c r="E81" s="274">
        <v>2021</v>
      </c>
      <c r="F81" s="274">
        <v>2024</v>
      </c>
      <c r="G81" s="260"/>
      <c r="H81" s="275" t="s">
        <v>639</v>
      </c>
      <c r="I81" s="276">
        <v>146000</v>
      </c>
      <c r="J81" s="276">
        <v>57000</v>
      </c>
      <c r="K81" s="276"/>
      <c r="L81" s="276"/>
      <c r="M81" s="276">
        <v>57000</v>
      </c>
      <c r="N81" s="276">
        <f t="shared" si="3"/>
        <v>57000</v>
      </c>
      <c r="O81" s="276">
        <v>19123</v>
      </c>
      <c r="P81" s="276">
        <v>200</v>
      </c>
      <c r="Q81" s="276">
        <v>37677</v>
      </c>
      <c r="R81" s="276"/>
      <c r="S81" s="296"/>
      <c r="T81" s="276">
        <f t="shared" si="4"/>
        <v>0</v>
      </c>
      <c r="U81" s="276">
        <f t="shared" si="5"/>
        <v>0</v>
      </c>
      <c r="V81" s="296">
        <v>57000</v>
      </c>
      <c r="W81" s="259"/>
      <c r="Y81" s="259"/>
      <c r="Z81" s="259">
        <v>1</v>
      </c>
      <c r="AA81" s="259"/>
      <c r="AB81" s="259"/>
    </row>
    <row r="82" spans="1:28" s="288" customFormat="1" ht="22.9" customHeight="1">
      <c r="A82" s="279" t="s">
        <v>97</v>
      </c>
      <c r="B82" s="280" t="s">
        <v>98</v>
      </c>
      <c r="C82" s="306"/>
      <c r="D82" s="282"/>
      <c r="E82" s="283"/>
      <c r="F82" s="283"/>
      <c r="G82" s="282"/>
      <c r="H82" s="284"/>
      <c r="I82" s="285">
        <f>I83</f>
        <v>10500</v>
      </c>
      <c r="J82" s="285">
        <f t="shared" ref="J82:V82" si="19">J83</f>
        <v>10500</v>
      </c>
      <c r="K82" s="285">
        <f t="shared" si="19"/>
        <v>0</v>
      </c>
      <c r="L82" s="285">
        <f t="shared" si="19"/>
        <v>0</v>
      </c>
      <c r="M82" s="285">
        <f t="shared" si="19"/>
        <v>10000</v>
      </c>
      <c r="N82" s="285">
        <f t="shared" si="19"/>
        <v>10000</v>
      </c>
      <c r="O82" s="285">
        <f t="shared" si="19"/>
        <v>0</v>
      </c>
      <c r="P82" s="285">
        <f t="shared" si="19"/>
        <v>0</v>
      </c>
      <c r="Q82" s="285">
        <f t="shared" si="19"/>
        <v>1000</v>
      </c>
      <c r="R82" s="285">
        <f t="shared" si="19"/>
        <v>5000</v>
      </c>
      <c r="S82" s="285">
        <f t="shared" si="19"/>
        <v>4000</v>
      </c>
      <c r="T82" s="285">
        <f t="shared" si="19"/>
        <v>0</v>
      </c>
      <c r="U82" s="285">
        <f t="shared" si="19"/>
        <v>0</v>
      </c>
      <c r="V82" s="285">
        <f t="shared" si="19"/>
        <v>10000</v>
      </c>
      <c r="W82" s="308"/>
      <c r="Y82" s="308"/>
      <c r="Z82" s="308"/>
      <c r="AA82" s="308"/>
      <c r="AB82" s="308"/>
    </row>
    <row r="83" spans="1:28" s="268" customFormat="1" ht="60.75" customHeight="1">
      <c r="A83" s="260">
        <v>1</v>
      </c>
      <c r="B83" s="273" t="s">
        <v>438</v>
      </c>
      <c r="C83" s="262" t="s">
        <v>39</v>
      </c>
      <c r="D83" s="260" t="s">
        <v>230</v>
      </c>
      <c r="E83" s="274">
        <v>2024</v>
      </c>
      <c r="F83" s="274">
        <v>2026</v>
      </c>
      <c r="G83" s="260" t="s">
        <v>851</v>
      </c>
      <c r="H83" s="275" t="s">
        <v>850</v>
      </c>
      <c r="I83" s="276">
        <v>10500</v>
      </c>
      <c r="J83" s="276">
        <v>10500</v>
      </c>
      <c r="K83" s="276"/>
      <c r="L83" s="276"/>
      <c r="M83" s="276">
        <v>10000</v>
      </c>
      <c r="N83" s="276">
        <f t="shared" si="3"/>
        <v>10000</v>
      </c>
      <c r="O83" s="276"/>
      <c r="P83" s="276"/>
      <c r="Q83" s="276">
        <v>1000</v>
      </c>
      <c r="R83" s="276">
        <v>5000</v>
      </c>
      <c r="S83" s="296">
        <v>4000</v>
      </c>
      <c r="T83" s="276">
        <f t="shared" si="4"/>
        <v>0</v>
      </c>
      <c r="U83" s="276">
        <f t="shared" si="5"/>
        <v>0</v>
      </c>
      <c r="V83" s="296">
        <v>10000</v>
      </c>
      <c r="W83" s="259"/>
      <c r="Y83" s="259"/>
      <c r="Z83" s="259"/>
      <c r="AA83" s="259">
        <v>1</v>
      </c>
      <c r="AB83" s="259"/>
    </row>
    <row r="84" spans="1:28" s="268" customFormat="1" ht="48.75" customHeight="1">
      <c r="A84" s="271" t="s">
        <v>437</v>
      </c>
      <c r="B84" s="272" t="s">
        <v>99</v>
      </c>
      <c r="C84" s="277"/>
      <c r="D84" s="261"/>
      <c r="E84" s="278"/>
      <c r="F84" s="278"/>
      <c r="G84" s="261"/>
      <c r="H84" s="263"/>
      <c r="I84" s="264">
        <f>I85</f>
        <v>9600</v>
      </c>
      <c r="J84" s="264">
        <f t="shared" ref="J84:V84" si="20">J85</f>
        <v>9600</v>
      </c>
      <c r="K84" s="264">
        <f t="shared" si="20"/>
        <v>0</v>
      </c>
      <c r="L84" s="264">
        <f t="shared" si="20"/>
        <v>0</v>
      </c>
      <c r="M84" s="264">
        <f t="shared" si="20"/>
        <v>1536</v>
      </c>
      <c r="N84" s="264">
        <f t="shared" si="20"/>
        <v>0</v>
      </c>
      <c r="O84" s="264">
        <f t="shared" si="20"/>
        <v>0</v>
      </c>
      <c r="P84" s="264">
        <f t="shared" si="20"/>
        <v>0</v>
      </c>
      <c r="Q84" s="264">
        <f t="shared" si="20"/>
        <v>0</v>
      </c>
      <c r="R84" s="264">
        <f t="shared" si="20"/>
        <v>0</v>
      </c>
      <c r="S84" s="264">
        <f t="shared" si="20"/>
        <v>0</v>
      </c>
      <c r="T84" s="264">
        <f t="shared" si="20"/>
        <v>0</v>
      </c>
      <c r="U84" s="264">
        <f t="shared" si="20"/>
        <v>1536</v>
      </c>
      <c r="V84" s="264">
        <f t="shared" si="20"/>
        <v>0</v>
      </c>
      <c r="W84" s="267"/>
      <c r="Y84" s="267"/>
      <c r="Z84" s="267"/>
      <c r="AA84" s="267"/>
      <c r="AB84" s="267"/>
    </row>
    <row r="85" spans="1:28" s="268" customFormat="1" ht="63.75" customHeight="1">
      <c r="A85" s="260">
        <v>1</v>
      </c>
      <c r="B85" s="273" t="s">
        <v>439</v>
      </c>
      <c r="C85" s="262" t="s">
        <v>39</v>
      </c>
      <c r="D85" s="260"/>
      <c r="E85" s="274"/>
      <c r="F85" s="274"/>
      <c r="G85" s="260"/>
      <c r="H85" s="275" t="s">
        <v>666</v>
      </c>
      <c r="I85" s="276">
        <v>9600</v>
      </c>
      <c r="J85" s="276">
        <v>9600</v>
      </c>
      <c r="K85" s="276"/>
      <c r="L85" s="276"/>
      <c r="M85" s="276">
        <v>1536</v>
      </c>
      <c r="N85" s="276">
        <f t="shared" si="3"/>
        <v>0</v>
      </c>
      <c r="O85" s="276"/>
      <c r="P85" s="276"/>
      <c r="Q85" s="276"/>
      <c r="R85" s="276"/>
      <c r="S85" s="296"/>
      <c r="T85" s="276">
        <f t="shared" si="4"/>
        <v>0</v>
      </c>
      <c r="U85" s="276">
        <f t="shared" si="5"/>
        <v>1536</v>
      </c>
      <c r="V85" s="296">
        <v>0</v>
      </c>
      <c r="W85" s="259"/>
      <c r="Y85" s="259"/>
      <c r="Z85" s="259"/>
      <c r="AA85" s="259"/>
      <c r="AB85" s="259">
        <v>1</v>
      </c>
    </row>
    <row r="86" spans="1:28" s="268" customFormat="1" ht="41.85" customHeight="1">
      <c r="A86" s="261" t="s">
        <v>122</v>
      </c>
      <c r="B86" s="290" t="s">
        <v>440</v>
      </c>
      <c r="C86" s="262"/>
      <c r="D86" s="261"/>
      <c r="E86" s="274"/>
      <c r="F86" s="274"/>
      <c r="G86" s="261"/>
      <c r="H86" s="263"/>
      <c r="I86" s="264">
        <f>I87</f>
        <v>204302</v>
      </c>
      <c r="J86" s="264">
        <f t="shared" ref="J86:V86" si="21">J87</f>
        <v>145400</v>
      </c>
      <c r="K86" s="264">
        <f t="shared" si="21"/>
        <v>0</v>
      </c>
      <c r="L86" s="264">
        <f t="shared" si="21"/>
        <v>0</v>
      </c>
      <c r="M86" s="264">
        <f t="shared" si="21"/>
        <v>43817</v>
      </c>
      <c r="N86" s="264">
        <f t="shared" si="21"/>
        <v>41599</v>
      </c>
      <c r="O86" s="264">
        <f t="shared" si="21"/>
        <v>400</v>
      </c>
      <c r="P86" s="264">
        <f t="shared" si="21"/>
        <v>4000</v>
      </c>
      <c r="Q86" s="264">
        <f t="shared" si="21"/>
        <v>14000</v>
      </c>
      <c r="R86" s="264">
        <f t="shared" si="21"/>
        <v>12234</v>
      </c>
      <c r="S86" s="264">
        <f t="shared" si="21"/>
        <v>10965</v>
      </c>
      <c r="T86" s="264">
        <f t="shared" si="21"/>
        <v>0</v>
      </c>
      <c r="U86" s="264">
        <f t="shared" si="21"/>
        <v>2218</v>
      </c>
      <c r="V86" s="264">
        <f t="shared" si="21"/>
        <v>41599</v>
      </c>
      <c r="W86" s="259"/>
      <c r="Y86" s="259"/>
      <c r="Z86" s="259"/>
      <c r="AA86" s="259"/>
      <c r="AB86" s="259"/>
    </row>
    <row r="87" spans="1:28" s="268" customFormat="1" ht="41.85" customHeight="1">
      <c r="A87" s="271" t="s">
        <v>408</v>
      </c>
      <c r="B87" s="272" t="s">
        <v>36</v>
      </c>
      <c r="C87" s="262"/>
      <c r="D87" s="261"/>
      <c r="E87" s="274"/>
      <c r="F87" s="274"/>
      <c r="G87" s="261"/>
      <c r="H87" s="263"/>
      <c r="I87" s="264">
        <f>I88+I92</f>
        <v>204302</v>
      </c>
      <c r="J87" s="264">
        <f t="shared" ref="J87:M87" si="22">J88+J92</f>
        <v>145400</v>
      </c>
      <c r="K87" s="264">
        <f t="shared" si="22"/>
        <v>0</v>
      </c>
      <c r="L87" s="264">
        <f t="shared" si="22"/>
        <v>0</v>
      </c>
      <c r="M87" s="264">
        <f t="shared" si="22"/>
        <v>43817</v>
      </c>
      <c r="N87" s="264">
        <f t="shared" ref="N87:V87" si="23">N88+N92</f>
        <v>41599</v>
      </c>
      <c r="O87" s="264">
        <f t="shared" si="23"/>
        <v>400</v>
      </c>
      <c r="P87" s="264">
        <f t="shared" si="23"/>
        <v>4000</v>
      </c>
      <c r="Q87" s="264">
        <f t="shared" si="23"/>
        <v>14000</v>
      </c>
      <c r="R87" s="264">
        <f t="shared" si="23"/>
        <v>12234</v>
      </c>
      <c r="S87" s="264">
        <f t="shared" si="23"/>
        <v>10965</v>
      </c>
      <c r="T87" s="264">
        <f t="shared" si="23"/>
        <v>0</v>
      </c>
      <c r="U87" s="264">
        <f t="shared" si="23"/>
        <v>2218</v>
      </c>
      <c r="V87" s="264">
        <f t="shared" si="23"/>
        <v>41599</v>
      </c>
      <c r="W87" s="259"/>
      <c r="Y87" s="259"/>
      <c r="Z87" s="259"/>
      <c r="AA87" s="259"/>
      <c r="AB87" s="259"/>
    </row>
    <row r="88" spans="1:28" s="288" customFormat="1" ht="48" customHeight="1">
      <c r="A88" s="279" t="s">
        <v>96</v>
      </c>
      <c r="B88" s="280" t="s">
        <v>123</v>
      </c>
      <c r="C88" s="281"/>
      <c r="D88" s="282"/>
      <c r="E88" s="283"/>
      <c r="F88" s="283"/>
      <c r="G88" s="282"/>
      <c r="H88" s="284"/>
      <c r="I88" s="285">
        <f>SUM(I89:I91)</f>
        <v>25000</v>
      </c>
      <c r="J88" s="285">
        <f t="shared" ref="J88:M88" si="24">SUM(J89:J91)</f>
        <v>25000</v>
      </c>
      <c r="K88" s="285">
        <f t="shared" si="24"/>
        <v>0</v>
      </c>
      <c r="L88" s="285">
        <f t="shared" si="24"/>
        <v>0</v>
      </c>
      <c r="M88" s="285">
        <f t="shared" si="24"/>
        <v>24652</v>
      </c>
      <c r="N88" s="285">
        <f t="shared" ref="N88:V88" si="25">SUM(N89:N91)</f>
        <v>24634</v>
      </c>
      <c r="O88" s="285">
        <f t="shared" si="25"/>
        <v>400</v>
      </c>
      <c r="P88" s="285">
        <f t="shared" si="25"/>
        <v>4000</v>
      </c>
      <c r="Q88" s="285">
        <f t="shared" si="25"/>
        <v>14000</v>
      </c>
      <c r="R88" s="285">
        <f t="shared" si="25"/>
        <v>6234</v>
      </c>
      <c r="S88" s="285">
        <f t="shared" si="25"/>
        <v>0</v>
      </c>
      <c r="T88" s="285">
        <f t="shared" si="25"/>
        <v>0</v>
      </c>
      <c r="U88" s="285">
        <f t="shared" si="25"/>
        <v>18</v>
      </c>
      <c r="V88" s="285">
        <f t="shared" si="25"/>
        <v>24634</v>
      </c>
      <c r="W88" s="287"/>
      <c r="Y88" s="287"/>
      <c r="Z88" s="287"/>
      <c r="AA88" s="287"/>
      <c r="AB88" s="287"/>
    </row>
    <row r="89" spans="1:28" s="268" customFormat="1" ht="42.4" customHeight="1">
      <c r="A89" s="260">
        <v>1</v>
      </c>
      <c r="B89" s="309" t="s">
        <v>441</v>
      </c>
      <c r="C89" s="262" t="s">
        <v>39</v>
      </c>
      <c r="D89" s="294" t="s">
        <v>229</v>
      </c>
      <c r="E89" s="274">
        <v>2021</v>
      </c>
      <c r="F89" s="274">
        <v>2023</v>
      </c>
      <c r="G89" s="294"/>
      <c r="H89" s="275" t="s">
        <v>667</v>
      </c>
      <c r="I89" s="295">
        <v>7000</v>
      </c>
      <c r="J89" s="295">
        <v>7000</v>
      </c>
      <c r="K89" s="295"/>
      <c r="L89" s="295"/>
      <c r="M89" s="295">
        <v>7000</v>
      </c>
      <c r="N89" s="276">
        <f t="shared" ref="N89:N151" si="26">SUM(O89:S89)</f>
        <v>6990</v>
      </c>
      <c r="O89" s="295">
        <v>400</v>
      </c>
      <c r="P89" s="295">
        <v>4000</v>
      </c>
      <c r="Q89" s="295">
        <v>1000</v>
      </c>
      <c r="R89" s="295">
        <v>1590</v>
      </c>
      <c r="S89" s="296"/>
      <c r="T89" s="276">
        <f t="shared" si="4"/>
        <v>0</v>
      </c>
      <c r="U89" s="276">
        <f t="shared" si="5"/>
        <v>10</v>
      </c>
      <c r="V89" s="296">
        <v>6990</v>
      </c>
      <c r="W89" s="259"/>
      <c r="Y89" s="259"/>
      <c r="Z89" s="259">
        <v>1</v>
      </c>
      <c r="AA89" s="259"/>
      <c r="AB89" s="259"/>
    </row>
    <row r="90" spans="1:28" s="268" customFormat="1" ht="75" customHeight="1">
      <c r="A90" s="260">
        <v>2</v>
      </c>
      <c r="B90" s="309" t="s">
        <v>442</v>
      </c>
      <c r="C90" s="262" t="s">
        <v>39</v>
      </c>
      <c r="D90" s="260" t="s">
        <v>625</v>
      </c>
      <c r="E90" s="274">
        <v>2023</v>
      </c>
      <c r="F90" s="274">
        <v>2024</v>
      </c>
      <c r="G90" s="294"/>
      <c r="H90" s="275" t="s">
        <v>668</v>
      </c>
      <c r="I90" s="295">
        <v>14000</v>
      </c>
      <c r="J90" s="295">
        <v>14000</v>
      </c>
      <c r="K90" s="295"/>
      <c r="L90" s="295"/>
      <c r="M90" s="295">
        <v>13800</v>
      </c>
      <c r="N90" s="276">
        <f t="shared" si="26"/>
        <v>13797</v>
      </c>
      <c r="O90" s="295"/>
      <c r="P90" s="295"/>
      <c r="Q90" s="295">
        <v>10000</v>
      </c>
      <c r="R90" s="295">
        <v>3797</v>
      </c>
      <c r="S90" s="296"/>
      <c r="T90" s="276">
        <f t="shared" si="4"/>
        <v>0</v>
      </c>
      <c r="U90" s="276">
        <f t="shared" si="5"/>
        <v>3</v>
      </c>
      <c r="V90" s="296">
        <v>13797</v>
      </c>
      <c r="W90" s="259"/>
      <c r="Y90" s="259"/>
      <c r="Z90" s="259">
        <v>1</v>
      </c>
      <c r="AA90" s="259"/>
      <c r="AB90" s="259"/>
    </row>
    <row r="91" spans="1:28" s="268" customFormat="1" ht="48.75" customHeight="1">
      <c r="A91" s="260">
        <v>3</v>
      </c>
      <c r="B91" s="309" t="s">
        <v>443</v>
      </c>
      <c r="C91" s="262" t="s">
        <v>39</v>
      </c>
      <c r="D91" s="260" t="s">
        <v>625</v>
      </c>
      <c r="E91" s="274">
        <v>2023</v>
      </c>
      <c r="F91" s="274">
        <v>2024</v>
      </c>
      <c r="G91" s="294" t="s">
        <v>669</v>
      </c>
      <c r="H91" s="275" t="s">
        <v>670</v>
      </c>
      <c r="I91" s="295">
        <v>4000</v>
      </c>
      <c r="J91" s="295">
        <v>4000</v>
      </c>
      <c r="K91" s="295"/>
      <c r="L91" s="295"/>
      <c r="M91" s="295">
        <v>3852</v>
      </c>
      <c r="N91" s="276">
        <f t="shared" si="26"/>
        <v>3847</v>
      </c>
      <c r="O91" s="295"/>
      <c r="P91" s="295"/>
      <c r="Q91" s="295">
        <v>3000</v>
      </c>
      <c r="R91" s="295">
        <v>847</v>
      </c>
      <c r="S91" s="296"/>
      <c r="T91" s="276">
        <f t="shared" ref="T91:T154" si="27">IF(V91&gt;M91,V91-M91,0)</f>
        <v>0</v>
      </c>
      <c r="U91" s="276">
        <f t="shared" ref="U91:U154" si="28">IF(V91&lt;M91,M91-V91,0)</f>
        <v>5</v>
      </c>
      <c r="V91" s="296">
        <v>3847</v>
      </c>
      <c r="W91" s="259"/>
      <c r="Y91" s="259"/>
      <c r="Z91" s="259">
        <v>1</v>
      </c>
      <c r="AA91" s="259"/>
      <c r="AB91" s="259"/>
    </row>
    <row r="92" spans="1:28" s="288" customFormat="1" ht="36.75" customHeight="1">
      <c r="A92" s="279" t="s">
        <v>97</v>
      </c>
      <c r="B92" s="280" t="s">
        <v>98</v>
      </c>
      <c r="C92" s="281"/>
      <c r="D92" s="282"/>
      <c r="E92" s="283"/>
      <c r="F92" s="283"/>
      <c r="G92" s="310"/>
      <c r="H92" s="284"/>
      <c r="I92" s="311">
        <f>SUM(I93:I107)</f>
        <v>179302</v>
      </c>
      <c r="J92" s="311">
        <f t="shared" ref="J92:V92" si="29">SUM(J93:J107)</f>
        <v>120400</v>
      </c>
      <c r="K92" s="311">
        <f t="shared" si="29"/>
        <v>0</v>
      </c>
      <c r="L92" s="311">
        <f t="shared" si="29"/>
        <v>0</v>
      </c>
      <c r="M92" s="311">
        <f t="shared" si="29"/>
        <v>19165</v>
      </c>
      <c r="N92" s="311">
        <f t="shared" si="29"/>
        <v>16965</v>
      </c>
      <c r="O92" s="311">
        <f t="shared" si="29"/>
        <v>0</v>
      </c>
      <c r="P92" s="311">
        <f t="shared" si="29"/>
        <v>0</v>
      </c>
      <c r="Q92" s="311">
        <f t="shared" si="29"/>
        <v>0</v>
      </c>
      <c r="R92" s="311">
        <f t="shared" si="29"/>
        <v>6000</v>
      </c>
      <c r="S92" s="311">
        <f t="shared" si="29"/>
        <v>10965</v>
      </c>
      <c r="T92" s="311">
        <f t="shared" si="29"/>
        <v>0</v>
      </c>
      <c r="U92" s="311">
        <f t="shared" si="29"/>
        <v>2200</v>
      </c>
      <c r="V92" s="311">
        <f t="shared" si="29"/>
        <v>16965</v>
      </c>
      <c r="W92" s="287"/>
      <c r="Y92" s="287"/>
      <c r="Z92" s="287"/>
      <c r="AA92" s="287"/>
      <c r="AB92" s="287"/>
    </row>
    <row r="93" spans="1:28" s="268" customFormat="1" ht="90" customHeight="1">
      <c r="A93" s="260">
        <v>1</v>
      </c>
      <c r="B93" s="309" t="s">
        <v>985</v>
      </c>
      <c r="C93" s="262"/>
      <c r="D93" s="260"/>
      <c r="E93" s="274"/>
      <c r="F93" s="274"/>
      <c r="G93" s="294"/>
      <c r="H93" s="275" t="s">
        <v>996</v>
      </c>
      <c r="I93" s="295">
        <v>14950</v>
      </c>
      <c r="J93" s="295">
        <v>7450</v>
      </c>
      <c r="K93" s="295"/>
      <c r="L93" s="295"/>
      <c r="M93" s="295">
        <v>200</v>
      </c>
      <c r="N93" s="276">
        <f t="shared" si="26"/>
        <v>0</v>
      </c>
      <c r="O93" s="295"/>
      <c r="P93" s="295"/>
      <c r="Q93" s="295"/>
      <c r="R93" s="295"/>
      <c r="S93" s="296"/>
      <c r="T93" s="276">
        <f t="shared" si="27"/>
        <v>0</v>
      </c>
      <c r="U93" s="276">
        <f t="shared" si="28"/>
        <v>200</v>
      </c>
      <c r="V93" s="296">
        <v>0</v>
      </c>
      <c r="W93" s="545"/>
      <c r="Y93" s="259"/>
      <c r="Z93" s="259"/>
      <c r="AA93" s="259"/>
      <c r="AB93" s="259"/>
    </row>
    <row r="94" spans="1:28" s="268" customFormat="1" ht="79.5" customHeight="1">
      <c r="A94" s="260">
        <v>2</v>
      </c>
      <c r="B94" s="309" t="s">
        <v>986</v>
      </c>
      <c r="C94" s="262"/>
      <c r="D94" s="260"/>
      <c r="E94" s="274"/>
      <c r="F94" s="274"/>
      <c r="G94" s="294"/>
      <c r="H94" s="275" t="s">
        <v>997</v>
      </c>
      <c r="I94" s="295">
        <v>14950</v>
      </c>
      <c r="J94" s="295">
        <v>7450</v>
      </c>
      <c r="K94" s="295"/>
      <c r="L94" s="295"/>
      <c r="M94" s="295">
        <v>200</v>
      </c>
      <c r="N94" s="276">
        <f t="shared" si="26"/>
        <v>0</v>
      </c>
      <c r="O94" s="295"/>
      <c r="P94" s="295"/>
      <c r="Q94" s="295"/>
      <c r="R94" s="295"/>
      <c r="S94" s="296"/>
      <c r="T94" s="276">
        <f t="shared" si="27"/>
        <v>0</v>
      </c>
      <c r="U94" s="276">
        <f t="shared" si="28"/>
        <v>200</v>
      </c>
      <c r="V94" s="296">
        <v>0</v>
      </c>
      <c r="W94" s="259"/>
      <c r="Y94" s="259"/>
      <c r="Z94" s="259"/>
      <c r="AA94" s="259"/>
      <c r="AB94" s="259"/>
    </row>
    <row r="95" spans="1:28" s="268" customFormat="1" ht="59.45" customHeight="1">
      <c r="A95" s="260">
        <v>3</v>
      </c>
      <c r="B95" s="309" t="s">
        <v>987</v>
      </c>
      <c r="C95" s="262"/>
      <c r="D95" s="260"/>
      <c r="E95" s="274"/>
      <c r="F95" s="274"/>
      <c r="G95" s="294"/>
      <c r="H95" s="275" t="s">
        <v>998</v>
      </c>
      <c r="I95" s="295">
        <v>12000</v>
      </c>
      <c r="J95" s="295">
        <v>6000</v>
      </c>
      <c r="K95" s="295"/>
      <c r="L95" s="295"/>
      <c r="M95" s="295">
        <v>200</v>
      </c>
      <c r="N95" s="276">
        <f t="shared" si="26"/>
        <v>0</v>
      </c>
      <c r="O95" s="295"/>
      <c r="P95" s="295"/>
      <c r="Q95" s="295"/>
      <c r="R95" s="295"/>
      <c r="S95" s="296"/>
      <c r="T95" s="276">
        <f t="shared" si="27"/>
        <v>0</v>
      </c>
      <c r="U95" s="276">
        <f t="shared" si="28"/>
        <v>200</v>
      </c>
      <c r="V95" s="296">
        <v>0</v>
      </c>
      <c r="W95" s="259"/>
      <c r="Y95" s="259"/>
      <c r="Z95" s="259"/>
      <c r="AA95" s="259"/>
      <c r="AB95" s="259"/>
    </row>
    <row r="96" spans="1:28" s="268" customFormat="1" ht="59.45" customHeight="1">
      <c r="A96" s="260">
        <v>4</v>
      </c>
      <c r="B96" s="309" t="s">
        <v>988</v>
      </c>
      <c r="C96" s="262"/>
      <c r="D96" s="260"/>
      <c r="E96" s="274"/>
      <c r="F96" s="274"/>
      <c r="G96" s="294"/>
      <c r="H96" s="275" t="s">
        <v>999</v>
      </c>
      <c r="I96" s="295">
        <v>12000</v>
      </c>
      <c r="J96" s="295">
        <v>6000</v>
      </c>
      <c r="K96" s="295"/>
      <c r="L96" s="295"/>
      <c r="M96" s="295">
        <v>200</v>
      </c>
      <c r="N96" s="276">
        <f t="shared" si="26"/>
        <v>0</v>
      </c>
      <c r="O96" s="295"/>
      <c r="P96" s="295"/>
      <c r="Q96" s="295"/>
      <c r="R96" s="295"/>
      <c r="S96" s="296"/>
      <c r="T96" s="276">
        <f t="shared" si="27"/>
        <v>0</v>
      </c>
      <c r="U96" s="276">
        <f t="shared" si="28"/>
        <v>200</v>
      </c>
      <c r="V96" s="296">
        <v>0</v>
      </c>
      <c r="W96" s="259"/>
      <c r="Y96" s="259"/>
      <c r="Z96" s="259"/>
      <c r="AA96" s="259"/>
      <c r="AB96" s="259"/>
    </row>
    <row r="97" spans="1:29" s="268" customFormat="1" ht="59.45" customHeight="1">
      <c r="A97" s="260">
        <v>5</v>
      </c>
      <c r="B97" s="309" t="s">
        <v>989</v>
      </c>
      <c r="C97" s="262"/>
      <c r="D97" s="260"/>
      <c r="E97" s="274"/>
      <c r="F97" s="274"/>
      <c r="G97" s="294"/>
      <c r="H97" s="275" t="s">
        <v>1000</v>
      </c>
      <c r="I97" s="295">
        <v>14950</v>
      </c>
      <c r="J97" s="295">
        <v>7450</v>
      </c>
      <c r="K97" s="295"/>
      <c r="L97" s="295"/>
      <c r="M97" s="295">
        <v>200</v>
      </c>
      <c r="N97" s="276">
        <f t="shared" si="26"/>
        <v>0</v>
      </c>
      <c r="O97" s="295"/>
      <c r="P97" s="295"/>
      <c r="Q97" s="295"/>
      <c r="R97" s="295"/>
      <c r="S97" s="296"/>
      <c r="T97" s="276">
        <f t="shared" si="27"/>
        <v>0</v>
      </c>
      <c r="U97" s="276">
        <f t="shared" si="28"/>
        <v>200</v>
      </c>
      <c r="V97" s="296">
        <v>0</v>
      </c>
      <c r="W97" s="259"/>
      <c r="Y97" s="259"/>
      <c r="Z97" s="259"/>
      <c r="AA97" s="259"/>
      <c r="AB97" s="259"/>
    </row>
    <row r="98" spans="1:29" s="268" customFormat="1" ht="87.4" customHeight="1">
      <c r="A98" s="260">
        <v>6</v>
      </c>
      <c r="B98" s="309" t="s">
        <v>990</v>
      </c>
      <c r="C98" s="262"/>
      <c r="D98" s="260"/>
      <c r="E98" s="274"/>
      <c r="F98" s="274"/>
      <c r="G98" s="294"/>
      <c r="H98" s="275" t="s">
        <v>1001</v>
      </c>
      <c r="I98" s="295">
        <v>12000</v>
      </c>
      <c r="J98" s="295">
        <v>7500</v>
      </c>
      <c r="K98" s="295"/>
      <c r="L98" s="295"/>
      <c r="M98" s="295">
        <v>200</v>
      </c>
      <c r="N98" s="276">
        <f t="shared" si="26"/>
        <v>0</v>
      </c>
      <c r="O98" s="295"/>
      <c r="P98" s="295"/>
      <c r="Q98" s="295"/>
      <c r="R98" s="295"/>
      <c r="S98" s="296"/>
      <c r="T98" s="276">
        <f t="shared" si="27"/>
        <v>0</v>
      </c>
      <c r="U98" s="276">
        <f t="shared" si="28"/>
        <v>200</v>
      </c>
      <c r="V98" s="296">
        <v>0</v>
      </c>
      <c r="W98" s="259"/>
      <c r="Y98" s="259"/>
      <c r="Z98" s="259"/>
      <c r="AA98" s="259"/>
      <c r="AB98" s="259"/>
    </row>
    <row r="99" spans="1:29" s="268" customFormat="1" ht="89.25" customHeight="1">
      <c r="A99" s="260">
        <v>7</v>
      </c>
      <c r="B99" s="309" t="s">
        <v>991</v>
      </c>
      <c r="C99" s="262"/>
      <c r="D99" s="260"/>
      <c r="E99" s="274"/>
      <c r="F99" s="274"/>
      <c r="G99" s="294"/>
      <c r="H99" s="275" t="s">
        <v>1002</v>
      </c>
      <c r="I99" s="295">
        <v>12402</v>
      </c>
      <c r="J99" s="295">
        <v>6000</v>
      </c>
      <c r="K99" s="295"/>
      <c r="L99" s="295"/>
      <c r="M99" s="295">
        <v>200</v>
      </c>
      <c r="N99" s="276">
        <f t="shared" si="26"/>
        <v>0</v>
      </c>
      <c r="O99" s="295"/>
      <c r="P99" s="295"/>
      <c r="Q99" s="295"/>
      <c r="R99" s="295"/>
      <c r="S99" s="296"/>
      <c r="T99" s="276">
        <f t="shared" si="27"/>
        <v>0</v>
      </c>
      <c r="U99" s="276">
        <f t="shared" si="28"/>
        <v>200</v>
      </c>
      <c r="V99" s="296">
        <v>0</v>
      </c>
      <c r="W99" s="259"/>
      <c r="Y99" s="259"/>
      <c r="Z99" s="259"/>
      <c r="AA99" s="259"/>
      <c r="AB99" s="259"/>
    </row>
    <row r="100" spans="1:29" s="268" customFormat="1" ht="62.25" customHeight="1">
      <c r="A100" s="260">
        <v>8</v>
      </c>
      <c r="B100" s="309" t="s">
        <v>992</v>
      </c>
      <c r="C100" s="262"/>
      <c r="D100" s="260"/>
      <c r="E100" s="274"/>
      <c r="F100" s="274"/>
      <c r="G100" s="294"/>
      <c r="H100" s="275" t="s">
        <v>1003</v>
      </c>
      <c r="I100" s="295">
        <v>12000</v>
      </c>
      <c r="J100" s="295">
        <v>6000</v>
      </c>
      <c r="K100" s="295"/>
      <c r="L100" s="295"/>
      <c r="M100" s="295">
        <v>200</v>
      </c>
      <c r="N100" s="276">
        <f t="shared" si="26"/>
        <v>0</v>
      </c>
      <c r="O100" s="295"/>
      <c r="P100" s="295"/>
      <c r="Q100" s="295"/>
      <c r="R100" s="295"/>
      <c r="S100" s="296"/>
      <c r="T100" s="276">
        <f t="shared" si="27"/>
        <v>0</v>
      </c>
      <c r="U100" s="276">
        <f t="shared" si="28"/>
        <v>200</v>
      </c>
      <c r="V100" s="296">
        <v>0</v>
      </c>
      <c r="W100" s="259"/>
      <c r="Y100" s="259"/>
      <c r="Z100" s="259"/>
      <c r="AA100" s="259"/>
      <c r="AB100" s="259"/>
    </row>
    <row r="101" spans="1:29" s="268" customFormat="1" ht="57" customHeight="1">
      <c r="A101" s="260">
        <v>9</v>
      </c>
      <c r="B101" s="309" t="s">
        <v>993</v>
      </c>
      <c r="C101" s="262"/>
      <c r="D101" s="260"/>
      <c r="E101" s="274"/>
      <c r="F101" s="274"/>
      <c r="G101" s="294"/>
      <c r="H101" s="275" t="s">
        <v>1004</v>
      </c>
      <c r="I101" s="295">
        <v>14950</v>
      </c>
      <c r="J101" s="295">
        <v>7450</v>
      </c>
      <c r="K101" s="295"/>
      <c r="L101" s="295"/>
      <c r="M101" s="295">
        <v>200</v>
      </c>
      <c r="N101" s="276">
        <f t="shared" si="26"/>
        <v>0</v>
      </c>
      <c r="O101" s="295"/>
      <c r="P101" s="295"/>
      <c r="Q101" s="295"/>
      <c r="R101" s="295"/>
      <c r="S101" s="296"/>
      <c r="T101" s="276">
        <f t="shared" si="27"/>
        <v>0</v>
      </c>
      <c r="U101" s="276">
        <f t="shared" si="28"/>
        <v>200</v>
      </c>
      <c r="V101" s="296">
        <v>0</v>
      </c>
      <c r="W101" s="259"/>
      <c r="Y101" s="259"/>
      <c r="Z101" s="259"/>
      <c r="AA101" s="259"/>
      <c r="AB101" s="259"/>
    </row>
    <row r="102" spans="1:29" s="268" customFormat="1" ht="43.9" customHeight="1">
      <c r="A102" s="260">
        <v>10</v>
      </c>
      <c r="B102" s="309" t="s">
        <v>994</v>
      </c>
      <c r="C102" s="262"/>
      <c r="D102" s="260"/>
      <c r="E102" s="274"/>
      <c r="F102" s="274"/>
      <c r="G102" s="294"/>
      <c r="H102" s="275" t="s">
        <v>1005</v>
      </c>
      <c r="I102" s="295">
        <v>1500</v>
      </c>
      <c r="J102" s="295">
        <v>1500</v>
      </c>
      <c r="K102" s="295"/>
      <c r="L102" s="295"/>
      <c r="M102" s="295">
        <v>200</v>
      </c>
      <c r="N102" s="276">
        <f t="shared" si="26"/>
        <v>0</v>
      </c>
      <c r="O102" s="295"/>
      <c r="P102" s="295"/>
      <c r="Q102" s="295"/>
      <c r="R102" s="295"/>
      <c r="S102" s="296"/>
      <c r="T102" s="276">
        <f t="shared" si="27"/>
        <v>0</v>
      </c>
      <c r="U102" s="276">
        <f t="shared" si="28"/>
        <v>200</v>
      </c>
      <c r="V102" s="296">
        <v>0</v>
      </c>
      <c r="W102" s="259"/>
      <c r="Y102" s="259"/>
      <c r="Z102" s="259"/>
      <c r="AA102" s="259"/>
      <c r="AB102" s="259"/>
    </row>
    <row r="103" spans="1:29" s="268" customFormat="1" ht="61.5" customHeight="1">
      <c r="A103" s="260">
        <v>11</v>
      </c>
      <c r="B103" s="309" t="s">
        <v>995</v>
      </c>
      <c r="C103" s="262"/>
      <c r="D103" s="260"/>
      <c r="E103" s="274"/>
      <c r="F103" s="274"/>
      <c r="G103" s="294"/>
      <c r="H103" s="275" t="s">
        <v>1006</v>
      </c>
      <c r="I103" s="295">
        <v>6650</v>
      </c>
      <c r="J103" s="295">
        <v>6650</v>
      </c>
      <c r="K103" s="295"/>
      <c r="L103" s="295"/>
      <c r="M103" s="295">
        <v>200</v>
      </c>
      <c r="N103" s="276">
        <f t="shared" si="26"/>
        <v>0</v>
      </c>
      <c r="O103" s="295"/>
      <c r="P103" s="295"/>
      <c r="Q103" s="295"/>
      <c r="R103" s="295"/>
      <c r="S103" s="296"/>
      <c r="T103" s="276">
        <f t="shared" si="27"/>
        <v>0</v>
      </c>
      <c r="U103" s="276">
        <f t="shared" si="28"/>
        <v>200</v>
      </c>
      <c r="V103" s="296">
        <v>0</v>
      </c>
      <c r="W103" s="259"/>
      <c r="Y103" s="259"/>
      <c r="Z103" s="259"/>
      <c r="AA103" s="259"/>
      <c r="AB103" s="259"/>
    </row>
    <row r="104" spans="1:29" s="268" customFormat="1" ht="58.5" customHeight="1">
      <c r="A104" s="260">
        <v>12</v>
      </c>
      <c r="B104" s="309" t="s">
        <v>1033</v>
      </c>
      <c r="C104" s="262"/>
      <c r="D104" s="260"/>
      <c r="E104" s="274"/>
      <c r="F104" s="274"/>
      <c r="G104" s="294"/>
      <c r="H104" s="275" t="s">
        <v>1039</v>
      </c>
      <c r="I104" s="295">
        <v>12000</v>
      </c>
      <c r="J104" s="295">
        <v>12000</v>
      </c>
      <c r="K104" s="295"/>
      <c r="L104" s="295"/>
      <c r="M104" s="295">
        <v>4000</v>
      </c>
      <c r="N104" s="276">
        <f t="shared" si="26"/>
        <v>4000</v>
      </c>
      <c r="O104" s="295"/>
      <c r="P104" s="295"/>
      <c r="Q104" s="295"/>
      <c r="R104" s="295">
        <v>1500</v>
      </c>
      <c r="S104" s="296">
        <v>2500</v>
      </c>
      <c r="T104" s="276">
        <f t="shared" si="27"/>
        <v>0</v>
      </c>
      <c r="U104" s="276">
        <f t="shared" si="28"/>
        <v>0</v>
      </c>
      <c r="V104" s="296">
        <v>4000</v>
      </c>
      <c r="W104" s="259"/>
      <c r="Y104" s="259"/>
      <c r="Z104" s="259"/>
      <c r="AA104" s="259"/>
      <c r="AB104" s="259"/>
    </row>
    <row r="105" spans="1:29" s="268" customFormat="1" ht="58.5" customHeight="1">
      <c r="A105" s="260">
        <v>13</v>
      </c>
      <c r="B105" s="309" t="s">
        <v>1034</v>
      </c>
      <c r="C105" s="262"/>
      <c r="D105" s="260"/>
      <c r="E105" s="274"/>
      <c r="F105" s="274"/>
      <c r="G105" s="294"/>
      <c r="H105" s="275" t="s">
        <v>1040</v>
      </c>
      <c r="I105" s="295">
        <v>12000</v>
      </c>
      <c r="J105" s="295">
        <v>12000</v>
      </c>
      <c r="K105" s="295"/>
      <c r="L105" s="295"/>
      <c r="M105" s="295">
        <v>4000</v>
      </c>
      <c r="N105" s="276">
        <f t="shared" si="26"/>
        <v>4000</v>
      </c>
      <c r="O105" s="295"/>
      <c r="P105" s="295"/>
      <c r="Q105" s="295"/>
      <c r="R105" s="295">
        <v>1500</v>
      </c>
      <c r="S105" s="296">
        <v>2500</v>
      </c>
      <c r="T105" s="276">
        <f t="shared" si="27"/>
        <v>0</v>
      </c>
      <c r="U105" s="276">
        <f t="shared" si="28"/>
        <v>0</v>
      </c>
      <c r="V105" s="296">
        <v>4000</v>
      </c>
      <c r="W105" s="259"/>
      <c r="Y105" s="259"/>
      <c r="Z105" s="259"/>
      <c r="AA105" s="259"/>
      <c r="AB105" s="259"/>
    </row>
    <row r="106" spans="1:29" s="268" customFormat="1" ht="75" customHeight="1">
      <c r="A106" s="260">
        <v>14</v>
      </c>
      <c r="B106" s="309" t="s">
        <v>1035</v>
      </c>
      <c r="C106" s="262"/>
      <c r="D106" s="260"/>
      <c r="E106" s="274"/>
      <c r="F106" s="274"/>
      <c r="G106" s="294"/>
      <c r="H106" s="275" t="s">
        <v>1041</v>
      </c>
      <c r="I106" s="295">
        <v>14950</v>
      </c>
      <c r="J106" s="295">
        <v>14950</v>
      </c>
      <c r="K106" s="295"/>
      <c r="L106" s="295"/>
      <c r="M106" s="295">
        <v>4965</v>
      </c>
      <c r="N106" s="276">
        <f t="shared" si="26"/>
        <v>4965</v>
      </c>
      <c r="O106" s="295"/>
      <c r="P106" s="295"/>
      <c r="Q106" s="295"/>
      <c r="R106" s="295">
        <v>1500</v>
      </c>
      <c r="S106" s="296">
        <v>3465</v>
      </c>
      <c r="T106" s="276">
        <f t="shared" si="27"/>
        <v>0</v>
      </c>
      <c r="U106" s="276">
        <f t="shared" si="28"/>
        <v>0</v>
      </c>
      <c r="V106" s="296">
        <v>4965</v>
      </c>
      <c r="W106" s="259"/>
      <c r="Y106" s="259"/>
      <c r="Z106" s="259"/>
      <c r="AA106" s="259"/>
      <c r="AB106" s="259"/>
    </row>
    <row r="107" spans="1:29" s="268" customFormat="1" ht="75" customHeight="1">
      <c r="A107" s="260">
        <v>15</v>
      </c>
      <c r="B107" s="309" t="s">
        <v>1036</v>
      </c>
      <c r="C107" s="262"/>
      <c r="D107" s="260"/>
      <c r="E107" s="274"/>
      <c r="F107" s="274"/>
      <c r="G107" s="294"/>
      <c r="H107" s="275" t="s">
        <v>1042</v>
      </c>
      <c r="I107" s="295">
        <v>12000</v>
      </c>
      <c r="J107" s="295">
        <v>12000</v>
      </c>
      <c r="K107" s="295"/>
      <c r="L107" s="295"/>
      <c r="M107" s="295">
        <v>4000</v>
      </c>
      <c r="N107" s="276">
        <f t="shared" si="26"/>
        <v>4000</v>
      </c>
      <c r="O107" s="295"/>
      <c r="P107" s="295"/>
      <c r="Q107" s="295"/>
      <c r="R107" s="295">
        <v>1500</v>
      </c>
      <c r="S107" s="296">
        <v>2500</v>
      </c>
      <c r="T107" s="276">
        <f t="shared" si="27"/>
        <v>0</v>
      </c>
      <c r="U107" s="276">
        <f t="shared" si="28"/>
        <v>0</v>
      </c>
      <c r="V107" s="296">
        <v>4000</v>
      </c>
      <c r="W107" s="259"/>
      <c r="Y107" s="259"/>
      <c r="Z107" s="259"/>
      <c r="AA107" s="259"/>
      <c r="AB107" s="259"/>
    </row>
    <row r="108" spans="1:29" s="268" customFormat="1" ht="39.75" customHeight="1">
      <c r="A108" s="261" t="s">
        <v>350</v>
      </c>
      <c r="B108" s="290" t="s">
        <v>444</v>
      </c>
      <c r="C108" s="262"/>
      <c r="D108" s="261"/>
      <c r="E108" s="274"/>
      <c r="F108" s="274"/>
      <c r="G108" s="261"/>
      <c r="H108" s="263"/>
      <c r="I108" s="264">
        <f t="shared" ref="I108:M108" si="30">I109+I111+I142</f>
        <v>827500</v>
      </c>
      <c r="J108" s="264">
        <f t="shared" si="30"/>
        <v>559144</v>
      </c>
      <c r="K108" s="264">
        <f t="shared" si="30"/>
        <v>87655.41</v>
      </c>
      <c r="L108" s="264">
        <f t="shared" si="30"/>
        <v>61834.41</v>
      </c>
      <c r="M108" s="264">
        <f t="shared" si="30"/>
        <v>324208</v>
      </c>
      <c r="N108" s="264">
        <f t="shared" ref="N108:V108" si="31">N109+N111+N142</f>
        <v>312018</v>
      </c>
      <c r="O108" s="264">
        <f t="shared" si="31"/>
        <v>0</v>
      </c>
      <c r="P108" s="264">
        <f t="shared" si="31"/>
        <v>81100</v>
      </c>
      <c r="Q108" s="264">
        <f t="shared" si="31"/>
        <v>79688</v>
      </c>
      <c r="R108" s="264">
        <f t="shared" si="31"/>
        <v>96193</v>
      </c>
      <c r="S108" s="264">
        <f t="shared" si="31"/>
        <v>55037</v>
      </c>
      <c r="T108" s="264">
        <f t="shared" si="31"/>
        <v>0</v>
      </c>
      <c r="U108" s="264">
        <f t="shared" si="31"/>
        <v>12190</v>
      </c>
      <c r="V108" s="264">
        <f t="shared" si="31"/>
        <v>312018</v>
      </c>
      <c r="W108" s="259"/>
      <c r="Y108" s="259"/>
      <c r="Z108" s="259"/>
      <c r="AA108" s="259"/>
      <c r="AB108" s="259"/>
      <c r="AC108" s="268">
        <f>M108/$M$69*100</f>
        <v>12.268633134060998</v>
      </c>
    </row>
    <row r="109" spans="1:29" s="268" customFormat="1" ht="39.75" customHeight="1">
      <c r="A109" s="271" t="s">
        <v>408</v>
      </c>
      <c r="B109" s="272" t="s">
        <v>35</v>
      </c>
      <c r="C109" s="262"/>
      <c r="D109" s="261"/>
      <c r="E109" s="274"/>
      <c r="F109" s="274"/>
      <c r="G109" s="261"/>
      <c r="H109" s="263"/>
      <c r="I109" s="264">
        <f>SUM(I110)</f>
        <v>121810</v>
      </c>
      <c r="J109" s="264">
        <f t="shared" ref="J109:V109" si="32">SUM(J110)</f>
        <v>95989</v>
      </c>
      <c r="K109" s="264">
        <f t="shared" si="32"/>
        <v>80770.41</v>
      </c>
      <c r="L109" s="264">
        <f t="shared" si="32"/>
        <v>54949.41</v>
      </c>
      <c r="M109" s="264">
        <f t="shared" si="32"/>
        <v>13200</v>
      </c>
      <c r="N109" s="264">
        <f t="shared" si="32"/>
        <v>12500</v>
      </c>
      <c r="O109" s="264">
        <f t="shared" si="32"/>
        <v>0</v>
      </c>
      <c r="P109" s="264">
        <f t="shared" si="32"/>
        <v>6000</v>
      </c>
      <c r="Q109" s="264">
        <f t="shared" si="32"/>
        <v>6500</v>
      </c>
      <c r="R109" s="264">
        <f t="shared" si="32"/>
        <v>0</v>
      </c>
      <c r="S109" s="264">
        <f t="shared" si="32"/>
        <v>0</v>
      </c>
      <c r="T109" s="264">
        <f t="shared" si="32"/>
        <v>0</v>
      </c>
      <c r="U109" s="264">
        <f t="shared" si="32"/>
        <v>700</v>
      </c>
      <c r="V109" s="264">
        <f t="shared" si="32"/>
        <v>12500</v>
      </c>
      <c r="W109" s="259"/>
      <c r="Y109" s="259"/>
      <c r="Z109" s="259"/>
      <c r="AA109" s="259"/>
      <c r="AB109" s="259"/>
    </row>
    <row r="110" spans="1:29" s="268" customFormat="1" ht="93" customHeight="1">
      <c r="A110" s="260">
        <v>1</v>
      </c>
      <c r="B110" s="273" t="s">
        <v>445</v>
      </c>
      <c r="C110" s="262" t="s">
        <v>38</v>
      </c>
      <c r="D110" s="294" t="s">
        <v>229</v>
      </c>
      <c r="E110" s="274">
        <v>2012</v>
      </c>
      <c r="F110" s="274">
        <v>2023</v>
      </c>
      <c r="G110" s="260"/>
      <c r="H110" s="275" t="s">
        <v>671</v>
      </c>
      <c r="I110" s="276">
        <v>121810</v>
      </c>
      <c r="J110" s="276">
        <v>95989</v>
      </c>
      <c r="K110" s="276">
        <v>80770.41</v>
      </c>
      <c r="L110" s="276">
        <v>54949.41</v>
      </c>
      <c r="M110" s="276">
        <v>13200</v>
      </c>
      <c r="N110" s="276">
        <f t="shared" si="26"/>
        <v>12500</v>
      </c>
      <c r="O110" s="276"/>
      <c r="P110" s="276">
        <v>6000</v>
      </c>
      <c r="Q110" s="276">
        <v>6500</v>
      </c>
      <c r="R110" s="276"/>
      <c r="S110" s="296"/>
      <c r="T110" s="276">
        <f t="shared" si="27"/>
        <v>0</v>
      </c>
      <c r="U110" s="276">
        <f t="shared" si="28"/>
        <v>700</v>
      </c>
      <c r="V110" s="296">
        <v>12500</v>
      </c>
      <c r="W110" s="259"/>
      <c r="Y110" s="259">
        <v>1</v>
      </c>
      <c r="Z110" s="259"/>
      <c r="AA110" s="259"/>
      <c r="AB110" s="259"/>
    </row>
    <row r="111" spans="1:29" s="268" customFormat="1" ht="39" customHeight="1">
      <c r="A111" s="271" t="s">
        <v>412</v>
      </c>
      <c r="B111" s="272" t="s">
        <v>36</v>
      </c>
      <c r="C111" s="262"/>
      <c r="D111" s="261"/>
      <c r="E111" s="274"/>
      <c r="F111" s="274"/>
      <c r="G111" s="261"/>
      <c r="H111" s="263"/>
      <c r="I111" s="264">
        <f>I112+I136</f>
        <v>631190</v>
      </c>
      <c r="J111" s="264">
        <f t="shared" ref="J111:L111" si="33">J112+J136</f>
        <v>403655</v>
      </c>
      <c r="K111" s="264">
        <f t="shared" si="33"/>
        <v>6885</v>
      </c>
      <c r="L111" s="264">
        <f t="shared" si="33"/>
        <v>6885</v>
      </c>
      <c r="M111" s="264">
        <f t="shared" ref="M111:V111" si="34">M112+M136</f>
        <v>308508</v>
      </c>
      <c r="N111" s="264">
        <f t="shared" si="34"/>
        <v>297018</v>
      </c>
      <c r="O111" s="264">
        <f t="shared" si="34"/>
        <v>0</v>
      </c>
      <c r="P111" s="264">
        <f t="shared" si="34"/>
        <v>75100</v>
      </c>
      <c r="Q111" s="264">
        <f t="shared" si="34"/>
        <v>73188</v>
      </c>
      <c r="R111" s="264">
        <f t="shared" si="34"/>
        <v>96193</v>
      </c>
      <c r="S111" s="264">
        <f t="shared" si="34"/>
        <v>52537</v>
      </c>
      <c r="T111" s="264">
        <f t="shared" si="34"/>
        <v>0</v>
      </c>
      <c r="U111" s="264">
        <f t="shared" si="34"/>
        <v>11490</v>
      </c>
      <c r="V111" s="264">
        <f t="shared" si="34"/>
        <v>297018</v>
      </c>
      <c r="W111" s="259"/>
      <c r="Y111" s="259"/>
      <c r="Z111" s="259"/>
      <c r="AA111" s="259"/>
      <c r="AB111" s="259"/>
    </row>
    <row r="112" spans="1:29" s="288" customFormat="1" ht="39" customHeight="1">
      <c r="A112" s="279" t="s">
        <v>96</v>
      </c>
      <c r="B112" s="280" t="s">
        <v>123</v>
      </c>
      <c r="C112" s="306"/>
      <c r="D112" s="282"/>
      <c r="E112" s="307"/>
      <c r="F112" s="307"/>
      <c r="G112" s="282"/>
      <c r="H112" s="284"/>
      <c r="I112" s="285">
        <f>SUM(I113:I135)</f>
        <v>531190</v>
      </c>
      <c r="J112" s="285">
        <f t="shared" ref="J112:L112" si="35">SUM(J113:J135)</f>
        <v>313655</v>
      </c>
      <c r="K112" s="285">
        <f t="shared" si="35"/>
        <v>6885</v>
      </c>
      <c r="L112" s="285">
        <f t="shared" si="35"/>
        <v>6885</v>
      </c>
      <c r="M112" s="285">
        <f t="shared" ref="M112:V112" si="36">SUM(M113:M135)</f>
        <v>289908</v>
      </c>
      <c r="N112" s="285">
        <f t="shared" si="36"/>
        <v>282018</v>
      </c>
      <c r="O112" s="285">
        <f t="shared" si="36"/>
        <v>0</v>
      </c>
      <c r="P112" s="285">
        <f t="shared" si="36"/>
        <v>75100</v>
      </c>
      <c r="Q112" s="285">
        <f t="shared" si="36"/>
        <v>73188</v>
      </c>
      <c r="R112" s="285">
        <f t="shared" si="36"/>
        <v>91193</v>
      </c>
      <c r="S112" s="285">
        <f t="shared" si="36"/>
        <v>42537</v>
      </c>
      <c r="T112" s="285">
        <f t="shared" si="36"/>
        <v>0</v>
      </c>
      <c r="U112" s="285">
        <f t="shared" si="36"/>
        <v>7890</v>
      </c>
      <c r="V112" s="285">
        <f t="shared" si="36"/>
        <v>282018</v>
      </c>
      <c r="W112" s="308"/>
      <c r="Y112" s="308"/>
      <c r="Z112" s="308"/>
      <c r="AA112" s="308"/>
      <c r="AB112" s="308"/>
    </row>
    <row r="113" spans="1:28" s="268" customFormat="1" ht="55.5" customHeight="1">
      <c r="A113" s="260">
        <v>1</v>
      </c>
      <c r="B113" s="309" t="s">
        <v>446</v>
      </c>
      <c r="C113" s="262" t="s">
        <v>39</v>
      </c>
      <c r="D113" s="294" t="s">
        <v>229</v>
      </c>
      <c r="E113" s="274">
        <v>2021</v>
      </c>
      <c r="F113" s="274">
        <v>2023</v>
      </c>
      <c r="G113" s="294" t="s">
        <v>672</v>
      </c>
      <c r="H113" s="275" t="s">
        <v>673</v>
      </c>
      <c r="I113" s="295">
        <v>14800</v>
      </c>
      <c r="J113" s="295">
        <f>14800-1288</f>
        <v>13512</v>
      </c>
      <c r="K113" s="295">
        <v>200</v>
      </c>
      <c r="L113" s="295">
        <v>200</v>
      </c>
      <c r="M113" s="295">
        <v>13312</v>
      </c>
      <c r="N113" s="276">
        <f t="shared" si="26"/>
        <v>13312</v>
      </c>
      <c r="O113" s="295"/>
      <c r="P113" s="295">
        <v>6000</v>
      </c>
      <c r="Q113" s="295">
        <v>7000</v>
      </c>
      <c r="R113" s="295">
        <v>312</v>
      </c>
      <c r="S113" s="296"/>
      <c r="T113" s="276">
        <f t="shared" si="27"/>
        <v>0</v>
      </c>
      <c r="U113" s="276">
        <f t="shared" si="28"/>
        <v>0</v>
      </c>
      <c r="V113" s="296">
        <v>13312</v>
      </c>
      <c r="W113" s="259"/>
      <c r="Y113" s="259"/>
      <c r="Z113" s="259">
        <v>1</v>
      </c>
      <c r="AA113" s="259"/>
      <c r="AB113" s="259"/>
    </row>
    <row r="114" spans="1:28" s="268" customFormat="1" ht="55.5" customHeight="1">
      <c r="A114" s="260">
        <v>2</v>
      </c>
      <c r="B114" s="309" t="s">
        <v>447</v>
      </c>
      <c r="C114" s="262" t="s">
        <v>39</v>
      </c>
      <c r="D114" s="294" t="s">
        <v>229</v>
      </c>
      <c r="E114" s="274">
        <v>2021</v>
      </c>
      <c r="F114" s="274">
        <v>2023</v>
      </c>
      <c r="G114" s="294" t="s">
        <v>674</v>
      </c>
      <c r="H114" s="275" t="s">
        <v>675</v>
      </c>
      <c r="I114" s="295">
        <v>13000</v>
      </c>
      <c r="J114" s="295">
        <f>I114-1500</f>
        <v>11500</v>
      </c>
      <c r="K114" s="295">
        <v>200</v>
      </c>
      <c r="L114" s="295">
        <v>200</v>
      </c>
      <c r="M114" s="295">
        <v>11300</v>
      </c>
      <c r="N114" s="276">
        <f t="shared" si="26"/>
        <v>11000</v>
      </c>
      <c r="O114" s="295"/>
      <c r="P114" s="295">
        <v>7000</v>
      </c>
      <c r="Q114" s="295">
        <v>4000</v>
      </c>
      <c r="R114" s="295"/>
      <c r="S114" s="296"/>
      <c r="T114" s="276">
        <f t="shared" si="27"/>
        <v>0</v>
      </c>
      <c r="U114" s="276">
        <f t="shared" si="28"/>
        <v>300</v>
      </c>
      <c r="V114" s="296">
        <v>11000</v>
      </c>
      <c r="W114" s="259"/>
      <c r="Y114" s="259"/>
      <c r="Z114" s="259">
        <v>1</v>
      </c>
      <c r="AA114" s="259"/>
      <c r="AB114" s="259"/>
    </row>
    <row r="115" spans="1:28" s="268" customFormat="1" ht="55.5" customHeight="1">
      <c r="A115" s="260">
        <v>3</v>
      </c>
      <c r="B115" s="309" t="s">
        <v>448</v>
      </c>
      <c r="C115" s="262" t="s">
        <v>39</v>
      </c>
      <c r="D115" s="294" t="s">
        <v>229</v>
      </c>
      <c r="E115" s="274">
        <v>2021</v>
      </c>
      <c r="F115" s="274">
        <v>2023</v>
      </c>
      <c r="G115" s="294" t="s">
        <v>676</v>
      </c>
      <c r="H115" s="275" t="s">
        <v>677</v>
      </c>
      <c r="I115" s="295">
        <v>12500</v>
      </c>
      <c r="J115" s="295">
        <f>I115-1500</f>
        <v>11000</v>
      </c>
      <c r="K115" s="295">
        <v>200</v>
      </c>
      <c r="L115" s="295">
        <v>200</v>
      </c>
      <c r="M115" s="295">
        <v>10800</v>
      </c>
      <c r="N115" s="276">
        <f t="shared" si="26"/>
        <v>10720</v>
      </c>
      <c r="O115" s="295"/>
      <c r="P115" s="295">
        <v>6000</v>
      </c>
      <c r="Q115" s="295">
        <v>4500</v>
      </c>
      <c r="R115" s="295">
        <v>220</v>
      </c>
      <c r="S115" s="296"/>
      <c r="T115" s="276">
        <f t="shared" si="27"/>
        <v>0</v>
      </c>
      <c r="U115" s="276">
        <f t="shared" si="28"/>
        <v>80</v>
      </c>
      <c r="V115" s="296">
        <v>10720</v>
      </c>
      <c r="W115" s="259"/>
      <c r="Y115" s="259"/>
      <c r="Z115" s="259">
        <v>1</v>
      </c>
      <c r="AA115" s="259"/>
      <c r="AB115" s="259"/>
    </row>
    <row r="116" spans="1:28" s="268" customFormat="1" ht="55.5" customHeight="1">
      <c r="A116" s="260">
        <v>4</v>
      </c>
      <c r="B116" s="309" t="s">
        <v>449</v>
      </c>
      <c r="C116" s="262" t="s">
        <v>39</v>
      </c>
      <c r="D116" s="294" t="s">
        <v>229</v>
      </c>
      <c r="E116" s="274">
        <v>2021</v>
      </c>
      <c r="F116" s="274">
        <v>2023</v>
      </c>
      <c r="G116" s="294" t="s">
        <v>678</v>
      </c>
      <c r="H116" s="275" t="s">
        <v>679</v>
      </c>
      <c r="I116" s="295">
        <v>14000</v>
      </c>
      <c r="J116" s="295">
        <f>I116-1500</f>
        <v>12500</v>
      </c>
      <c r="K116" s="295">
        <v>200</v>
      </c>
      <c r="L116" s="295">
        <v>200</v>
      </c>
      <c r="M116" s="295">
        <v>12000</v>
      </c>
      <c r="N116" s="276">
        <f t="shared" si="26"/>
        <v>12000</v>
      </c>
      <c r="O116" s="295"/>
      <c r="P116" s="295">
        <v>8000</v>
      </c>
      <c r="Q116" s="295">
        <v>4000</v>
      </c>
      <c r="R116" s="295">
        <v>0</v>
      </c>
      <c r="S116" s="296"/>
      <c r="T116" s="276">
        <f t="shared" si="27"/>
        <v>0</v>
      </c>
      <c r="U116" s="276">
        <f t="shared" si="28"/>
        <v>0</v>
      </c>
      <c r="V116" s="296">
        <v>12000</v>
      </c>
      <c r="W116" s="259"/>
      <c r="Y116" s="259"/>
      <c r="Z116" s="259">
        <v>1</v>
      </c>
      <c r="AA116" s="259"/>
      <c r="AB116" s="259"/>
    </row>
    <row r="117" spans="1:28" s="268" customFormat="1" ht="61.5">
      <c r="A117" s="260">
        <v>5</v>
      </c>
      <c r="B117" s="309" t="s">
        <v>450</v>
      </c>
      <c r="C117" s="262" t="s">
        <v>39</v>
      </c>
      <c r="D117" s="294" t="s">
        <v>628</v>
      </c>
      <c r="E117" s="274">
        <v>2023</v>
      </c>
      <c r="F117" s="274">
        <v>2025</v>
      </c>
      <c r="G117" s="294" t="s">
        <v>680</v>
      </c>
      <c r="H117" s="275" t="s">
        <v>681</v>
      </c>
      <c r="I117" s="295">
        <v>38000</v>
      </c>
      <c r="J117" s="295">
        <v>38000</v>
      </c>
      <c r="K117" s="295">
        <v>200</v>
      </c>
      <c r="L117" s="295">
        <v>200</v>
      </c>
      <c r="M117" s="295">
        <v>37800</v>
      </c>
      <c r="N117" s="276">
        <f t="shared" si="26"/>
        <v>37800</v>
      </c>
      <c r="O117" s="295"/>
      <c r="P117" s="295"/>
      <c r="Q117" s="295">
        <v>3000</v>
      </c>
      <c r="R117" s="295">
        <v>13500</v>
      </c>
      <c r="S117" s="296">
        <v>21300</v>
      </c>
      <c r="T117" s="276">
        <f t="shared" si="27"/>
        <v>0</v>
      </c>
      <c r="U117" s="276">
        <f t="shared" si="28"/>
        <v>0</v>
      </c>
      <c r="V117" s="296">
        <v>37800</v>
      </c>
      <c r="W117" s="259"/>
      <c r="Y117" s="259"/>
      <c r="Z117" s="259">
        <v>1</v>
      </c>
      <c r="AA117" s="259"/>
      <c r="AB117" s="259"/>
    </row>
    <row r="118" spans="1:28" s="268" customFormat="1" ht="78" customHeight="1">
      <c r="A118" s="260">
        <v>6</v>
      </c>
      <c r="B118" s="309" t="s">
        <v>451</v>
      </c>
      <c r="C118" s="262" t="s">
        <v>39</v>
      </c>
      <c r="D118" s="294" t="s">
        <v>627</v>
      </c>
      <c r="E118" s="274">
        <v>2021</v>
      </c>
      <c r="F118" s="274">
        <v>2023</v>
      </c>
      <c r="G118" s="294" t="s">
        <v>682</v>
      </c>
      <c r="H118" s="275" t="s">
        <v>683</v>
      </c>
      <c r="I118" s="295">
        <v>17990</v>
      </c>
      <c r="J118" s="295">
        <f>I118-6000</f>
        <v>11990</v>
      </c>
      <c r="K118" s="295">
        <v>200</v>
      </c>
      <c r="L118" s="295">
        <v>200</v>
      </c>
      <c r="M118" s="295">
        <v>11790</v>
      </c>
      <c r="N118" s="276">
        <f t="shared" si="26"/>
        <v>11188</v>
      </c>
      <c r="O118" s="295"/>
      <c r="P118" s="295">
        <v>10000</v>
      </c>
      <c r="Q118" s="295">
        <v>1188</v>
      </c>
      <c r="R118" s="295"/>
      <c r="S118" s="296"/>
      <c r="T118" s="276">
        <f t="shared" si="27"/>
        <v>0</v>
      </c>
      <c r="U118" s="276">
        <f t="shared" si="28"/>
        <v>602</v>
      </c>
      <c r="V118" s="296">
        <v>11188</v>
      </c>
      <c r="W118" s="259"/>
      <c r="Y118" s="259"/>
      <c r="Z118" s="259">
        <v>1</v>
      </c>
      <c r="AA118" s="259"/>
      <c r="AB118" s="259"/>
    </row>
    <row r="119" spans="1:28" s="268" customFormat="1" ht="41.25" customHeight="1">
      <c r="A119" s="260">
        <v>7</v>
      </c>
      <c r="B119" s="309" t="s">
        <v>452</v>
      </c>
      <c r="C119" s="262" t="s">
        <v>39</v>
      </c>
      <c r="D119" s="294" t="s">
        <v>230</v>
      </c>
      <c r="E119" s="274">
        <v>2021</v>
      </c>
      <c r="F119" s="274">
        <v>2023</v>
      </c>
      <c r="G119" s="294" t="s">
        <v>684</v>
      </c>
      <c r="H119" s="275" t="s">
        <v>685</v>
      </c>
      <c r="I119" s="295">
        <v>19000</v>
      </c>
      <c r="J119" s="295">
        <v>12000</v>
      </c>
      <c r="K119" s="295">
        <v>200</v>
      </c>
      <c r="L119" s="295">
        <v>200</v>
      </c>
      <c r="M119" s="295">
        <v>11386</v>
      </c>
      <c r="N119" s="276">
        <f t="shared" si="26"/>
        <v>11386</v>
      </c>
      <c r="O119" s="295"/>
      <c r="P119" s="295">
        <v>8000</v>
      </c>
      <c r="Q119" s="295">
        <v>3300</v>
      </c>
      <c r="R119" s="295">
        <v>86</v>
      </c>
      <c r="S119" s="296"/>
      <c r="T119" s="276">
        <f t="shared" si="27"/>
        <v>0</v>
      </c>
      <c r="U119" s="276">
        <f t="shared" si="28"/>
        <v>0</v>
      </c>
      <c r="V119" s="296">
        <v>11386</v>
      </c>
      <c r="W119" s="259"/>
      <c r="Y119" s="259"/>
      <c r="Z119" s="259">
        <v>1</v>
      </c>
      <c r="AA119" s="259"/>
      <c r="AB119" s="259"/>
    </row>
    <row r="120" spans="1:28" s="268" customFormat="1" ht="41.25" customHeight="1">
      <c r="A120" s="260">
        <v>8</v>
      </c>
      <c r="B120" s="309" t="s">
        <v>453</v>
      </c>
      <c r="C120" s="262" t="s">
        <v>39</v>
      </c>
      <c r="D120" s="294" t="s">
        <v>230</v>
      </c>
      <c r="E120" s="274">
        <v>2021</v>
      </c>
      <c r="F120" s="274">
        <v>2023</v>
      </c>
      <c r="G120" s="294" t="s">
        <v>674</v>
      </c>
      <c r="H120" s="275" t="s">
        <v>686</v>
      </c>
      <c r="I120" s="295">
        <v>18000</v>
      </c>
      <c r="J120" s="295">
        <v>11501</v>
      </c>
      <c r="K120" s="295">
        <v>200</v>
      </c>
      <c r="L120" s="295">
        <v>200</v>
      </c>
      <c r="M120" s="295">
        <v>11301</v>
      </c>
      <c r="N120" s="276">
        <f t="shared" si="26"/>
        <v>11000</v>
      </c>
      <c r="O120" s="295"/>
      <c r="P120" s="295">
        <v>8000</v>
      </c>
      <c r="Q120" s="295">
        <v>3000</v>
      </c>
      <c r="R120" s="295"/>
      <c r="S120" s="296"/>
      <c r="T120" s="276">
        <f t="shared" si="27"/>
        <v>0</v>
      </c>
      <c r="U120" s="276">
        <f t="shared" si="28"/>
        <v>301</v>
      </c>
      <c r="V120" s="296">
        <v>11000</v>
      </c>
      <c r="W120" s="259"/>
      <c r="Y120" s="259"/>
      <c r="Z120" s="259">
        <v>1</v>
      </c>
      <c r="AA120" s="259"/>
      <c r="AB120" s="259"/>
    </row>
    <row r="121" spans="1:28" s="268" customFormat="1" ht="47.25" customHeight="1">
      <c r="A121" s="260">
        <v>9</v>
      </c>
      <c r="B121" s="309" t="s">
        <v>454</v>
      </c>
      <c r="C121" s="262" t="s">
        <v>39</v>
      </c>
      <c r="D121" s="294" t="s">
        <v>229</v>
      </c>
      <c r="E121" s="274">
        <v>2022</v>
      </c>
      <c r="F121" s="274">
        <v>2024</v>
      </c>
      <c r="G121" s="294" t="s">
        <v>687</v>
      </c>
      <c r="H121" s="275" t="s">
        <v>688</v>
      </c>
      <c r="I121" s="295">
        <v>7900</v>
      </c>
      <c r="J121" s="295">
        <v>7900</v>
      </c>
      <c r="K121" s="295">
        <v>200</v>
      </c>
      <c r="L121" s="295">
        <v>200</v>
      </c>
      <c r="M121" s="295">
        <v>7700</v>
      </c>
      <c r="N121" s="276">
        <f t="shared" si="26"/>
        <v>7680</v>
      </c>
      <c r="O121" s="295"/>
      <c r="P121" s="295">
        <v>4000</v>
      </c>
      <c r="Q121" s="295">
        <v>3000</v>
      </c>
      <c r="R121" s="295">
        <v>680</v>
      </c>
      <c r="S121" s="296"/>
      <c r="T121" s="276">
        <f t="shared" si="27"/>
        <v>0</v>
      </c>
      <c r="U121" s="276">
        <f t="shared" si="28"/>
        <v>20</v>
      </c>
      <c r="V121" s="296">
        <v>7680</v>
      </c>
      <c r="W121" s="259"/>
      <c r="Y121" s="259"/>
      <c r="Z121" s="259">
        <v>1</v>
      </c>
      <c r="AA121" s="259"/>
      <c r="AB121" s="259"/>
    </row>
    <row r="122" spans="1:28" s="268" customFormat="1" ht="45" customHeight="1">
      <c r="A122" s="260">
        <v>10</v>
      </c>
      <c r="B122" s="273" t="s">
        <v>455</v>
      </c>
      <c r="C122" s="262" t="s">
        <v>39</v>
      </c>
      <c r="D122" s="294" t="s">
        <v>229</v>
      </c>
      <c r="E122" s="274">
        <v>2022</v>
      </c>
      <c r="F122" s="274">
        <v>2024</v>
      </c>
      <c r="G122" s="260" t="s">
        <v>689</v>
      </c>
      <c r="H122" s="275" t="s">
        <v>690</v>
      </c>
      <c r="I122" s="276">
        <v>10200</v>
      </c>
      <c r="J122" s="276">
        <v>10200</v>
      </c>
      <c r="K122" s="276">
        <v>100</v>
      </c>
      <c r="L122" s="276">
        <v>100</v>
      </c>
      <c r="M122" s="295">
        <v>10023</v>
      </c>
      <c r="N122" s="276">
        <f t="shared" si="26"/>
        <v>9937</v>
      </c>
      <c r="O122" s="276"/>
      <c r="P122" s="276">
        <v>4000</v>
      </c>
      <c r="Q122" s="295">
        <v>5500</v>
      </c>
      <c r="R122" s="295">
        <v>437</v>
      </c>
      <c r="S122" s="296"/>
      <c r="T122" s="276">
        <f t="shared" si="27"/>
        <v>0</v>
      </c>
      <c r="U122" s="276">
        <f t="shared" si="28"/>
        <v>86</v>
      </c>
      <c r="V122" s="296">
        <v>9937</v>
      </c>
      <c r="W122" s="259"/>
      <c r="Y122" s="259"/>
      <c r="Z122" s="259">
        <v>1</v>
      </c>
      <c r="AA122" s="259"/>
      <c r="AB122" s="259"/>
    </row>
    <row r="123" spans="1:28" s="268" customFormat="1" ht="61.5">
      <c r="A123" s="260">
        <v>11</v>
      </c>
      <c r="B123" s="273" t="s">
        <v>456</v>
      </c>
      <c r="C123" s="262" t="s">
        <v>39</v>
      </c>
      <c r="D123" s="260" t="s">
        <v>629</v>
      </c>
      <c r="E123" s="274">
        <v>2023</v>
      </c>
      <c r="F123" s="274">
        <v>2025</v>
      </c>
      <c r="G123" s="294" t="s">
        <v>691</v>
      </c>
      <c r="H123" s="275" t="s">
        <v>692</v>
      </c>
      <c r="I123" s="276">
        <v>14500</v>
      </c>
      <c r="J123" s="276">
        <v>14500</v>
      </c>
      <c r="K123" s="276"/>
      <c r="L123" s="276"/>
      <c r="M123" s="276">
        <v>14500</v>
      </c>
      <c r="N123" s="276">
        <f t="shared" si="26"/>
        <v>14119</v>
      </c>
      <c r="O123" s="276"/>
      <c r="P123" s="276">
        <v>200</v>
      </c>
      <c r="Q123" s="276">
        <v>6310</v>
      </c>
      <c r="R123" s="276">
        <v>5000</v>
      </c>
      <c r="S123" s="296">
        <v>2609</v>
      </c>
      <c r="T123" s="276">
        <f t="shared" si="27"/>
        <v>0</v>
      </c>
      <c r="U123" s="276">
        <f t="shared" si="28"/>
        <v>381</v>
      </c>
      <c r="V123" s="296">
        <v>14119</v>
      </c>
      <c r="W123" s="546" t="s">
        <v>1099</v>
      </c>
      <c r="Y123" s="259"/>
      <c r="Z123" s="259">
        <v>1</v>
      </c>
      <c r="AA123" s="259"/>
      <c r="AB123" s="259"/>
    </row>
    <row r="124" spans="1:28" s="268" customFormat="1" ht="30.75">
      <c r="A124" s="260">
        <v>12</v>
      </c>
      <c r="B124" s="273" t="s">
        <v>457</v>
      </c>
      <c r="C124" s="262" t="s">
        <v>39</v>
      </c>
      <c r="D124" s="260" t="s">
        <v>625</v>
      </c>
      <c r="E124" s="274">
        <v>2024</v>
      </c>
      <c r="F124" s="274">
        <v>2025</v>
      </c>
      <c r="G124" s="294" t="s">
        <v>693</v>
      </c>
      <c r="H124" s="275" t="s">
        <v>694</v>
      </c>
      <c r="I124" s="276">
        <v>20000</v>
      </c>
      <c r="J124" s="276">
        <v>20000</v>
      </c>
      <c r="K124" s="276"/>
      <c r="L124" s="276"/>
      <c r="M124" s="276">
        <v>20000</v>
      </c>
      <c r="N124" s="276">
        <f t="shared" si="26"/>
        <v>20000</v>
      </c>
      <c r="O124" s="276"/>
      <c r="P124" s="312">
        <v>200</v>
      </c>
      <c r="Q124" s="276"/>
      <c r="R124" s="276">
        <v>18000</v>
      </c>
      <c r="S124" s="296">
        <v>1800</v>
      </c>
      <c r="T124" s="276">
        <f t="shared" si="27"/>
        <v>0</v>
      </c>
      <c r="U124" s="276">
        <f t="shared" si="28"/>
        <v>0</v>
      </c>
      <c r="V124" s="296">
        <v>20000</v>
      </c>
      <c r="W124" s="546"/>
      <c r="Y124" s="259"/>
      <c r="Z124" s="259">
        <v>1</v>
      </c>
      <c r="AA124" s="259"/>
      <c r="AB124" s="259"/>
    </row>
    <row r="125" spans="1:28" s="268" customFormat="1" ht="61.5">
      <c r="A125" s="260">
        <v>13</v>
      </c>
      <c r="B125" s="273" t="s">
        <v>458</v>
      </c>
      <c r="C125" s="262" t="s">
        <v>39</v>
      </c>
      <c r="D125" s="260" t="s">
        <v>628</v>
      </c>
      <c r="E125" s="274">
        <v>2023</v>
      </c>
      <c r="F125" s="274">
        <v>2025</v>
      </c>
      <c r="G125" s="294" t="s">
        <v>695</v>
      </c>
      <c r="H125" s="275" t="s">
        <v>696</v>
      </c>
      <c r="I125" s="276">
        <v>14500</v>
      </c>
      <c r="J125" s="276">
        <v>14500</v>
      </c>
      <c r="K125" s="276"/>
      <c r="L125" s="276"/>
      <c r="M125" s="276">
        <v>14500</v>
      </c>
      <c r="N125" s="276">
        <f t="shared" si="26"/>
        <v>14090</v>
      </c>
      <c r="O125" s="276"/>
      <c r="P125" s="276">
        <v>200</v>
      </c>
      <c r="Q125" s="276">
        <v>5500</v>
      </c>
      <c r="R125" s="276">
        <v>5000</v>
      </c>
      <c r="S125" s="296">
        <v>3390</v>
      </c>
      <c r="T125" s="276">
        <f t="shared" si="27"/>
        <v>0</v>
      </c>
      <c r="U125" s="276">
        <f t="shared" si="28"/>
        <v>410</v>
      </c>
      <c r="V125" s="296">
        <v>14090</v>
      </c>
      <c r="W125" s="546" t="s">
        <v>1099</v>
      </c>
      <c r="Y125" s="259"/>
      <c r="Z125" s="259">
        <v>1</v>
      </c>
      <c r="AA125" s="259"/>
      <c r="AB125" s="259"/>
    </row>
    <row r="126" spans="1:28" s="268" customFormat="1" ht="61.5">
      <c r="A126" s="260">
        <v>14</v>
      </c>
      <c r="B126" s="273" t="s">
        <v>459</v>
      </c>
      <c r="C126" s="262" t="s">
        <v>39</v>
      </c>
      <c r="D126" s="260" t="s">
        <v>629</v>
      </c>
      <c r="E126" s="274">
        <v>2022</v>
      </c>
      <c r="F126" s="274">
        <v>2024</v>
      </c>
      <c r="G126" s="294" t="s">
        <v>697</v>
      </c>
      <c r="H126" s="275" t="s">
        <v>698</v>
      </c>
      <c r="I126" s="276">
        <v>9800</v>
      </c>
      <c r="J126" s="276">
        <v>9800</v>
      </c>
      <c r="K126" s="276"/>
      <c r="L126" s="276"/>
      <c r="M126" s="276">
        <v>9513</v>
      </c>
      <c r="N126" s="276">
        <f t="shared" si="26"/>
        <v>9513</v>
      </c>
      <c r="O126" s="276"/>
      <c r="P126" s="276">
        <v>5500</v>
      </c>
      <c r="Q126" s="276">
        <v>3000</v>
      </c>
      <c r="R126" s="276">
        <v>1013</v>
      </c>
      <c r="S126" s="296"/>
      <c r="T126" s="276">
        <f t="shared" si="27"/>
        <v>0</v>
      </c>
      <c r="U126" s="276">
        <f t="shared" si="28"/>
        <v>0</v>
      </c>
      <c r="V126" s="296">
        <v>9513</v>
      </c>
      <c r="W126" s="259"/>
      <c r="Y126" s="259"/>
      <c r="Z126" s="259">
        <v>1</v>
      </c>
      <c r="AA126" s="259"/>
      <c r="AB126" s="259"/>
    </row>
    <row r="127" spans="1:28" s="268" customFormat="1" ht="44.25" customHeight="1">
      <c r="A127" s="260">
        <v>15</v>
      </c>
      <c r="B127" s="309" t="s">
        <v>460</v>
      </c>
      <c r="C127" s="262" t="s">
        <v>39</v>
      </c>
      <c r="D127" s="294" t="s">
        <v>229</v>
      </c>
      <c r="E127" s="274">
        <v>2022</v>
      </c>
      <c r="F127" s="274">
        <v>2024</v>
      </c>
      <c r="G127" s="294" t="s">
        <v>699</v>
      </c>
      <c r="H127" s="275" t="s">
        <v>700</v>
      </c>
      <c r="I127" s="276">
        <v>14500</v>
      </c>
      <c r="J127" s="276">
        <v>14500</v>
      </c>
      <c r="K127" s="276"/>
      <c r="L127" s="276"/>
      <c r="M127" s="276">
        <v>14500</v>
      </c>
      <c r="N127" s="276">
        <f t="shared" si="26"/>
        <v>14220</v>
      </c>
      <c r="O127" s="276"/>
      <c r="P127" s="276">
        <v>2000</v>
      </c>
      <c r="Q127" s="276">
        <v>6400</v>
      </c>
      <c r="R127" s="276">
        <v>5820</v>
      </c>
      <c r="S127" s="296"/>
      <c r="T127" s="276">
        <f t="shared" si="27"/>
        <v>0</v>
      </c>
      <c r="U127" s="276">
        <f t="shared" si="28"/>
        <v>280</v>
      </c>
      <c r="V127" s="296">
        <v>14220</v>
      </c>
      <c r="W127" s="259"/>
      <c r="Y127" s="259"/>
      <c r="Z127" s="259">
        <v>1</v>
      </c>
      <c r="AA127" s="259"/>
      <c r="AB127" s="259"/>
    </row>
    <row r="128" spans="1:28" s="268" customFormat="1" ht="61.5">
      <c r="A128" s="260">
        <v>16</v>
      </c>
      <c r="B128" s="273" t="s">
        <v>126</v>
      </c>
      <c r="C128" s="262" t="s">
        <v>38</v>
      </c>
      <c r="D128" s="260" t="s">
        <v>230</v>
      </c>
      <c r="E128" s="274">
        <v>2019</v>
      </c>
      <c r="F128" s="274">
        <v>2024</v>
      </c>
      <c r="G128" s="294" t="s">
        <v>701</v>
      </c>
      <c r="H128" s="275" t="s">
        <v>702</v>
      </c>
      <c r="I128" s="276">
        <v>46000</v>
      </c>
      <c r="J128" s="276">
        <v>23000</v>
      </c>
      <c r="K128" s="276">
        <v>4985</v>
      </c>
      <c r="L128" s="276">
        <v>4985</v>
      </c>
      <c r="M128" s="276">
        <v>14684</v>
      </c>
      <c r="N128" s="276">
        <f t="shared" si="26"/>
        <v>14684</v>
      </c>
      <c r="O128" s="276"/>
      <c r="P128" s="276">
        <v>6000</v>
      </c>
      <c r="Q128" s="276">
        <v>8490</v>
      </c>
      <c r="R128" s="276">
        <v>194</v>
      </c>
      <c r="S128" s="296"/>
      <c r="T128" s="276">
        <f t="shared" si="27"/>
        <v>0</v>
      </c>
      <c r="U128" s="276">
        <f t="shared" si="28"/>
        <v>0</v>
      </c>
      <c r="V128" s="296">
        <v>14684</v>
      </c>
      <c r="W128" s="259"/>
      <c r="Y128" s="259"/>
      <c r="Z128" s="259">
        <v>1</v>
      </c>
      <c r="AA128" s="259"/>
      <c r="AB128" s="259"/>
    </row>
    <row r="129" spans="1:28" s="268" customFormat="1" ht="61.5">
      <c r="A129" s="260">
        <v>17</v>
      </c>
      <c r="B129" s="273" t="s">
        <v>465</v>
      </c>
      <c r="C129" s="262" t="s">
        <v>39</v>
      </c>
      <c r="D129" s="260" t="s">
        <v>629</v>
      </c>
      <c r="E129" s="274">
        <v>2023</v>
      </c>
      <c r="F129" s="274">
        <v>2025</v>
      </c>
      <c r="G129" s="294" t="s">
        <v>704</v>
      </c>
      <c r="H129" s="275" t="s">
        <v>705</v>
      </c>
      <c r="I129" s="276">
        <v>22400</v>
      </c>
      <c r="J129" s="276">
        <v>20000</v>
      </c>
      <c r="K129" s="276"/>
      <c r="L129" s="276"/>
      <c r="M129" s="276">
        <v>20000</v>
      </c>
      <c r="N129" s="276">
        <f t="shared" si="26"/>
        <v>18092</v>
      </c>
      <c r="O129" s="276"/>
      <c r="P129" s="276"/>
      <c r="Q129" s="276">
        <v>5000</v>
      </c>
      <c r="R129" s="276">
        <v>8000</v>
      </c>
      <c r="S129" s="296">
        <v>5092</v>
      </c>
      <c r="T129" s="276">
        <f t="shared" si="27"/>
        <v>0</v>
      </c>
      <c r="U129" s="276">
        <f t="shared" si="28"/>
        <v>1908</v>
      </c>
      <c r="V129" s="296">
        <v>18092</v>
      </c>
      <c r="W129" s="262" t="s">
        <v>1055</v>
      </c>
      <c r="Y129" s="259"/>
      <c r="Z129" s="259">
        <v>1</v>
      </c>
      <c r="AA129" s="259"/>
      <c r="AB129" s="259"/>
    </row>
    <row r="130" spans="1:28" s="268" customFormat="1" ht="54.75" customHeight="1">
      <c r="A130" s="260">
        <v>18</v>
      </c>
      <c r="B130" s="273" t="s">
        <v>461</v>
      </c>
      <c r="C130" s="262" t="s">
        <v>38</v>
      </c>
      <c r="D130" s="260"/>
      <c r="E130" s="274"/>
      <c r="F130" s="274"/>
      <c r="G130" s="294"/>
      <c r="H130" s="275" t="s">
        <v>852</v>
      </c>
      <c r="I130" s="276">
        <v>80000</v>
      </c>
      <c r="J130" s="276">
        <v>26868</v>
      </c>
      <c r="K130" s="276"/>
      <c r="L130" s="276"/>
      <c r="M130" s="276">
        <v>26868</v>
      </c>
      <c r="N130" s="276">
        <f t="shared" si="26"/>
        <v>26868</v>
      </c>
      <c r="O130" s="276"/>
      <c r="P130" s="276"/>
      <c r="Q130" s="276"/>
      <c r="R130" s="276">
        <v>20000</v>
      </c>
      <c r="S130" s="296">
        <v>6868</v>
      </c>
      <c r="T130" s="276">
        <f t="shared" si="27"/>
        <v>0</v>
      </c>
      <c r="U130" s="276">
        <f t="shared" si="28"/>
        <v>0</v>
      </c>
      <c r="V130" s="296">
        <v>26868</v>
      </c>
      <c r="W130" s="262" t="s">
        <v>856</v>
      </c>
      <c r="Y130" s="259"/>
      <c r="Z130" s="259">
        <v>1</v>
      </c>
      <c r="AA130" s="259"/>
      <c r="AB130" s="259"/>
    </row>
    <row r="131" spans="1:28" s="268" customFormat="1" ht="54.75" customHeight="1">
      <c r="A131" s="260">
        <v>19</v>
      </c>
      <c r="B131" s="273" t="s">
        <v>462</v>
      </c>
      <c r="C131" s="262" t="s">
        <v>39</v>
      </c>
      <c r="D131" s="260"/>
      <c r="E131" s="274"/>
      <c r="F131" s="274"/>
      <c r="G131" s="294"/>
      <c r="H131" s="275" t="s">
        <v>853</v>
      </c>
      <c r="I131" s="276">
        <v>19300</v>
      </c>
      <c r="J131" s="276">
        <v>1000</v>
      </c>
      <c r="K131" s="276"/>
      <c r="L131" s="276"/>
      <c r="M131" s="276">
        <v>616</v>
      </c>
      <c r="N131" s="276">
        <f t="shared" si="26"/>
        <v>616</v>
      </c>
      <c r="O131" s="276"/>
      <c r="P131" s="276"/>
      <c r="Q131" s="276"/>
      <c r="R131" s="276">
        <v>616</v>
      </c>
      <c r="S131" s="296"/>
      <c r="T131" s="276">
        <f t="shared" si="27"/>
        <v>0</v>
      </c>
      <c r="U131" s="276">
        <f t="shared" si="28"/>
        <v>0</v>
      </c>
      <c r="V131" s="296">
        <v>616</v>
      </c>
      <c r="W131" s="262" t="s">
        <v>2004</v>
      </c>
      <c r="Y131" s="259"/>
      <c r="Z131" s="259">
        <v>1</v>
      </c>
      <c r="AA131" s="259"/>
      <c r="AB131" s="259"/>
    </row>
    <row r="132" spans="1:28" s="268" customFormat="1" ht="54.75" customHeight="1">
      <c r="A132" s="260">
        <v>20</v>
      </c>
      <c r="B132" s="273" t="s">
        <v>463</v>
      </c>
      <c r="C132" s="262" t="s">
        <v>39</v>
      </c>
      <c r="D132" s="260"/>
      <c r="E132" s="274"/>
      <c r="F132" s="274"/>
      <c r="G132" s="294"/>
      <c r="H132" s="275" t="s">
        <v>854</v>
      </c>
      <c r="I132" s="276">
        <v>25000</v>
      </c>
      <c r="J132" s="276">
        <v>15000</v>
      </c>
      <c r="K132" s="276"/>
      <c r="L132" s="276"/>
      <c r="M132" s="276">
        <v>5578</v>
      </c>
      <c r="N132" s="276">
        <f t="shared" si="26"/>
        <v>5578</v>
      </c>
      <c r="O132" s="276"/>
      <c r="P132" s="276"/>
      <c r="Q132" s="276"/>
      <c r="R132" s="276">
        <v>5578</v>
      </c>
      <c r="S132" s="296"/>
      <c r="T132" s="276">
        <f t="shared" si="27"/>
        <v>0</v>
      </c>
      <c r="U132" s="276">
        <f t="shared" si="28"/>
        <v>0</v>
      </c>
      <c r="V132" s="296">
        <v>5578</v>
      </c>
      <c r="W132" s="262" t="s">
        <v>2004</v>
      </c>
      <c r="Y132" s="259"/>
      <c r="Z132" s="259">
        <v>1</v>
      </c>
      <c r="AA132" s="259"/>
      <c r="AB132" s="259"/>
    </row>
    <row r="133" spans="1:28" s="268" customFormat="1" ht="54.75" customHeight="1">
      <c r="A133" s="260">
        <v>21</v>
      </c>
      <c r="B133" s="273" t="s">
        <v>1104</v>
      </c>
      <c r="C133" s="262" t="s">
        <v>39</v>
      </c>
      <c r="D133" s="260"/>
      <c r="E133" s="274"/>
      <c r="F133" s="274"/>
      <c r="G133" s="294"/>
      <c r="H133" s="275" t="s">
        <v>703</v>
      </c>
      <c r="I133" s="276">
        <v>70000</v>
      </c>
      <c r="J133" s="276">
        <v>5000</v>
      </c>
      <c r="K133" s="276"/>
      <c r="L133" s="276"/>
      <c r="M133" s="276">
        <v>5000</v>
      </c>
      <c r="N133" s="276">
        <f t="shared" si="26"/>
        <v>1478</v>
      </c>
      <c r="O133" s="276"/>
      <c r="P133" s="276"/>
      <c r="Q133" s="276"/>
      <c r="R133" s="276"/>
      <c r="S133" s="296">
        <v>1478</v>
      </c>
      <c r="T133" s="276">
        <f t="shared" si="27"/>
        <v>0</v>
      </c>
      <c r="U133" s="276">
        <f t="shared" si="28"/>
        <v>3522</v>
      </c>
      <c r="V133" s="296">
        <v>1478</v>
      </c>
      <c r="W133" s="546" t="s">
        <v>1099</v>
      </c>
      <c r="Y133" s="259"/>
      <c r="Z133" s="259">
        <v>1</v>
      </c>
      <c r="AA133" s="259"/>
      <c r="AB133" s="259"/>
    </row>
    <row r="134" spans="1:28" s="268" customFormat="1" ht="49.5" customHeight="1">
      <c r="A134" s="260">
        <v>22</v>
      </c>
      <c r="B134" s="273" t="s">
        <v>1017</v>
      </c>
      <c r="C134" s="262"/>
      <c r="D134" s="260"/>
      <c r="E134" s="274"/>
      <c r="F134" s="274"/>
      <c r="G134" s="294"/>
      <c r="H134" s="275" t="s">
        <v>1019</v>
      </c>
      <c r="I134" s="276">
        <v>14900</v>
      </c>
      <c r="J134" s="276">
        <v>3267</v>
      </c>
      <c r="K134" s="276"/>
      <c r="L134" s="276"/>
      <c r="M134" s="276">
        <v>1942</v>
      </c>
      <c r="N134" s="276">
        <f t="shared" si="26"/>
        <v>1942</v>
      </c>
      <c r="O134" s="276"/>
      <c r="P134" s="276"/>
      <c r="Q134" s="276"/>
      <c r="R134" s="276">
        <v>1942</v>
      </c>
      <c r="S134" s="296"/>
      <c r="T134" s="276">
        <f t="shared" si="27"/>
        <v>0</v>
      </c>
      <c r="U134" s="276">
        <f t="shared" si="28"/>
        <v>0</v>
      </c>
      <c r="V134" s="296">
        <v>1942</v>
      </c>
      <c r="W134" s="262" t="s">
        <v>2005</v>
      </c>
      <c r="Y134" s="259"/>
      <c r="Z134" s="259">
        <v>1</v>
      </c>
      <c r="AA134" s="259"/>
      <c r="AB134" s="259"/>
    </row>
    <row r="135" spans="1:28" s="268" customFormat="1" ht="49.5" customHeight="1">
      <c r="A135" s="260">
        <v>23</v>
      </c>
      <c r="B135" s="273" t="s">
        <v>1018</v>
      </c>
      <c r="C135" s="262"/>
      <c r="D135" s="260"/>
      <c r="E135" s="274"/>
      <c r="F135" s="274"/>
      <c r="G135" s="294"/>
      <c r="H135" s="275" t="s">
        <v>1020</v>
      </c>
      <c r="I135" s="276">
        <v>14900</v>
      </c>
      <c r="J135" s="276">
        <v>6117</v>
      </c>
      <c r="K135" s="276"/>
      <c r="L135" s="276"/>
      <c r="M135" s="276">
        <v>4795</v>
      </c>
      <c r="N135" s="276">
        <f t="shared" si="26"/>
        <v>4795</v>
      </c>
      <c r="O135" s="276"/>
      <c r="P135" s="276"/>
      <c r="Q135" s="276"/>
      <c r="R135" s="276">
        <v>4795</v>
      </c>
      <c r="S135" s="296"/>
      <c r="T135" s="276">
        <f t="shared" si="27"/>
        <v>0</v>
      </c>
      <c r="U135" s="276">
        <f t="shared" si="28"/>
        <v>0</v>
      </c>
      <c r="V135" s="296">
        <v>4795</v>
      </c>
      <c r="W135" s="262" t="s">
        <v>2005</v>
      </c>
      <c r="Y135" s="259"/>
      <c r="Z135" s="259">
        <v>1</v>
      </c>
      <c r="AA135" s="259"/>
      <c r="AB135" s="259"/>
    </row>
    <row r="136" spans="1:28" s="288" customFormat="1" ht="33" customHeight="1">
      <c r="A136" s="279" t="s">
        <v>97</v>
      </c>
      <c r="B136" s="280" t="s">
        <v>98</v>
      </c>
      <c r="C136" s="281"/>
      <c r="D136" s="282"/>
      <c r="E136" s="283"/>
      <c r="F136" s="283"/>
      <c r="G136" s="310"/>
      <c r="H136" s="284"/>
      <c r="I136" s="285">
        <f>SUM(I137:I141)</f>
        <v>100000</v>
      </c>
      <c r="J136" s="285">
        <f t="shared" ref="J136:V136" si="37">SUM(J137:J141)</f>
        <v>90000</v>
      </c>
      <c r="K136" s="285">
        <f t="shared" si="37"/>
        <v>0</v>
      </c>
      <c r="L136" s="285">
        <f t="shared" si="37"/>
        <v>0</v>
      </c>
      <c r="M136" s="285">
        <f t="shared" si="37"/>
        <v>18600</v>
      </c>
      <c r="N136" s="285">
        <f t="shared" si="37"/>
        <v>15000</v>
      </c>
      <c r="O136" s="285">
        <f t="shared" si="37"/>
        <v>0</v>
      </c>
      <c r="P136" s="285">
        <f t="shared" si="37"/>
        <v>0</v>
      </c>
      <c r="Q136" s="285">
        <f t="shared" si="37"/>
        <v>0</v>
      </c>
      <c r="R136" s="285">
        <f t="shared" si="37"/>
        <v>5000</v>
      </c>
      <c r="S136" s="285">
        <f t="shared" si="37"/>
        <v>10000</v>
      </c>
      <c r="T136" s="285">
        <f t="shared" si="37"/>
        <v>0</v>
      </c>
      <c r="U136" s="285">
        <f t="shared" si="37"/>
        <v>3600</v>
      </c>
      <c r="V136" s="285">
        <f t="shared" si="37"/>
        <v>15000</v>
      </c>
      <c r="W136" s="287"/>
      <c r="Y136" s="287"/>
      <c r="Z136" s="287"/>
      <c r="AA136" s="287"/>
      <c r="AB136" s="287"/>
    </row>
    <row r="137" spans="1:28" s="268" customFormat="1" ht="46.5" customHeight="1">
      <c r="A137" s="260">
        <v>1</v>
      </c>
      <c r="B137" s="273" t="s">
        <v>469</v>
      </c>
      <c r="C137" s="262" t="s">
        <v>38</v>
      </c>
      <c r="D137" s="294" t="s">
        <v>229</v>
      </c>
      <c r="E137" s="274">
        <v>2024</v>
      </c>
      <c r="F137" s="274">
        <v>2026</v>
      </c>
      <c r="G137" s="294"/>
      <c r="H137" s="275" t="s">
        <v>855</v>
      </c>
      <c r="I137" s="276">
        <v>50000</v>
      </c>
      <c r="J137" s="276">
        <v>50000</v>
      </c>
      <c r="K137" s="276"/>
      <c r="L137" s="276"/>
      <c r="M137" s="276">
        <v>15000</v>
      </c>
      <c r="N137" s="276">
        <f t="shared" si="26"/>
        <v>15000</v>
      </c>
      <c r="O137" s="276"/>
      <c r="P137" s="276"/>
      <c r="Q137" s="276"/>
      <c r="R137" s="276">
        <v>5000</v>
      </c>
      <c r="S137" s="296">
        <v>10000</v>
      </c>
      <c r="T137" s="276">
        <f t="shared" si="27"/>
        <v>0</v>
      </c>
      <c r="U137" s="276">
        <f t="shared" si="28"/>
        <v>0</v>
      </c>
      <c r="V137" s="296">
        <v>15000</v>
      </c>
      <c r="W137" s="259"/>
      <c r="Y137" s="259"/>
      <c r="Z137" s="259"/>
      <c r="AA137" s="259">
        <v>1</v>
      </c>
      <c r="AB137" s="259"/>
    </row>
    <row r="138" spans="1:28" s="268" customFormat="1" ht="55.5" customHeight="1">
      <c r="A138" s="260">
        <v>2</v>
      </c>
      <c r="B138" s="273" t="s">
        <v>466</v>
      </c>
      <c r="C138" s="262" t="s">
        <v>39</v>
      </c>
      <c r="D138" s="260"/>
      <c r="E138" s="274"/>
      <c r="F138" s="274"/>
      <c r="G138" s="294"/>
      <c r="H138" s="275" t="s">
        <v>1077</v>
      </c>
      <c r="I138" s="276">
        <v>14950</v>
      </c>
      <c r="J138" s="276">
        <v>12450</v>
      </c>
      <c r="K138" s="276"/>
      <c r="L138" s="276"/>
      <c r="M138" s="276">
        <v>1000</v>
      </c>
      <c r="N138" s="276">
        <f t="shared" si="26"/>
        <v>0</v>
      </c>
      <c r="O138" s="276"/>
      <c r="P138" s="276"/>
      <c r="Q138" s="276"/>
      <c r="R138" s="276"/>
      <c r="S138" s="296"/>
      <c r="T138" s="276">
        <f t="shared" si="27"/>
        <v>0</v>
      </c>
      <c r="U138" s="276">
        <f t="shared" si="28"/>
        <v>1000</v>
      </c>
      <c r="V138" s="296">
        <v>0</v>
      </c>
      <c r="W138" s="547" t="s">
        <v>1139</v>
      </c>
      <c r="Y138" s="259"/>
      <c r="Z138" s="259"/>
      <c r="AA138" s="259"/>
      <c r="AB138" s="259">
        <v>1</v>
      </c>
    </row>
    <row r="139" spans="1:28" s="268" customFormat="1" ht="46.5" customHeight="1">
      <c r="A139" s="260">
        <v>3</v>
      </c>
      <c r="B139" s="273" t="s">
        <v>467</v>
      </c>
      <c r="C139" s="262" t="s">
        <v>39</v>
      </c>
      <c r="D139" s="260"/>
      <c r="E139" s="274"/>
      <c r="F139" s="274"/>
      <c r="G139" s="294"/>
      <c r="H139" s="275" t="s">
        <v>1078</v>
      </c>
      <c r="I139" s="276">
        <v>14900</v>
      </c>
      <c r="J139" s="276">
        <v>12400</v>
      </c>
      <c r="K139" s="276"/>
      <c r="L139" s="276"/>
      <c r="M139" s="276">
        <v>1000</v>
      </c>
      <c r="N139" s="276">
        <f t="shared" si="26"/>
        <v>0</v>
      </c>
      <c r="O139" s="276"/>
      <c r="P139" s="276"/>
      <c r="Q139" s="276"/>
      <c r="R139" s="276"/>
      <c r="S139" s="296"/>
      <c r="T139" s="276">
        <f t="shared" si="27"/>
        <v>0</v>
      </c>
      <c r="U139" s="276">
        <f t="shared" si="28"/>
        <v>1000</v>
      </c>
      <c r="V139" s="296">
        <v>0</v>
      </c>
      <c r="W139" s="547" t="s">
        <v>1139</v>
      </c>
      <c r="Y139" s="259"/>
      <c r="Z139" s="259"/>
      <c r="AA139" s="259"/>
      <c r="AB139" s="259">
        <v>1</v>
      </c>
    </row>
    <row r="140" spans="1:28" s="268" customFormat="1" ht="46.5" customHeight="1">
      <c r="A140" s="260">
        <v>4</v>
      </c>
      <c r="B140" s="273" t="s">
        <v>468</v>
      </c>
      <c r="C140" s="262" t="s">
        <v>39</v>
      </c>
      <c r="D140" s="260"/>
      <c r="E140" s="274"/>
      <c r="F140" s="274"/>
      <c r="G140" s="294"/>
      <c r="H140" s="275" t="s">
        <v>1079</v>
      </c>
      <c r="I140" s="276">
        <v>9000</v>
      </c>
      <c r="J140" s="276">
        <v>6500</v>
      </c>
      <c r="K140" s="276"/>
      <c r="L140" s="276"/>
      <c r="M140" s="276">
        <v>800</v>
      </c>
      <c r="N140" s="276">
        <f t="shared" si="26"/>
        <v>0</v>
      </c>
      <c r="O140" s="276"/>
      <c r="P140" s="276"/>
      <c r="Q140" s="276"/>
      <c r="R140" s="276"/>
      <c r="S140" s="296"/>
      <c r="T140" s="276">
        <f t="shared" si="27"/>
        <v>0</v>
      </c>
      <c r="U140" s="276">
        <f t="shared" si="28"/>
        <v>800</v>
      </c>
      <c r="V140" s="296">
        <v>0</v>
      </c>
      <c r="W140" s="547" t="s">
        <v>1139</v>
      </c>
      <c r="Y140" s="259"/>
      <c r="Z140" s="259"/>
      <c r="AA140" s="259"/>
      <c r="AB140" s="259">
        <v>1</v>
      </c>
    </row>
    <row r="141" spans="1:28" s="268" customFormat="1" ht="46.5" customHeight="1">
      <c r="A141" s="260">
        <v>5</v>
      </c>
      <c r="B141" s="273" t="s">
        <v>470</v>
      </c>
      <c r="C141" s="262" t="s">
        <v>39</v>
      </c>
      <c r="D141" s="260"/>
      <c r="E141" s="274"/>
      <c r="F141" s="274"/>
      <c r="G141" s="294"/>
      <c r="H141" s="275" t="s">
        <v>1080</v>
      </c>
      <c r="I141" s="276">
        <v>11150</v>
      </c>
      <c r="J141" s="276">
        <v>8650</v>
      </c>
      <c r="K141" s="276"/>
      <c r="L141" s="276"/>
      <c r="M141" s="276">
        <v>800</v>
      </c>
      <c r="N141" s="276">
        <f t="shared" si="26"/>
        <v>0</v>
      </c>
      <c r="O141" s="276"/>
      <c r="P141" s="276"/>
      <c r="Q141" s="276"/>
      <c r="R141" s="276"/>
      <c r="S141" s="296"/>
      <c r="T141" s="276">
        <f t="shared" si="27"/>
        <v>0</v>
      </c>
      <c r="U141" s="276">
        <f t="shared" si="28"/>
        <v>800</v>
      </c>
      <c r="V141" s="296">
        <v>0</v>
      </c>
      <c r="W141" s="547" t="s">
        <v>1139</v>
      </c>
      <c r="Y141" s="259"/>
      <c r="Z141" s="259"/>
      <c r="AA141" s="259"/>
      <c r="AB141" s="259">
        <v>1</v>
      </c>
    </row>
    <row r="142" spans="1:28" s="268" customFormat="1" ht="48" customHeight="1">
      <c r="A142" s="271" t="s">
        <v>437</v>
      </c>
      <c r="B142" s="272" t="s">
        <v>99</v>
      </c>
      <c r="C142" s="262"/>
      <c r="D142" s="261"/>
      <c r="E142" s="278"/>
      <c r="F142" s="278"/>
      <c r="G142" s="301"/>
      <c r="H142" s="263"/>
      <c r="I142" s="264">
        <f t="shared" ref="I142:V142" si="38">SUM(I143:I147)</f>
        <v>74500</v>
      </c>
      <c r="J142" s="264">
        <f t="shared" si="38"/>
        <v>59500</v>
      </c>
      <c r="K142" s="264">
        <f t="shared" si="38"/>
        <v>0</v>
      </c>
      <c r="L142" s="264">
        <f t="shared" si="38"/>
        <v>0</v>
      </c>
      <c r="M142" s="264">
        <f t="shared" si="38"/>
        <v>2500</v>
      </c>
      <c r="N142" s="264">
        <f t="shared" si="38"/>
        <v>2500</v>
      </c>
      <c r="O142" s="264">
        <f t="shared" si="38"/>
        <v>0</v>
      </c>
      <c r="P142" s="264">
        <f t="shared" si="38"/>
        <v>0</v>
      </c>
      <c r="Q142" s="264">
        <f t="shared" si="38"/>
        <v>0</v>
      </c>
      <c r="R142" s="264">
        <f t="shared" si="38"/>
        <v>0</v>
      </c>
      <c r="S142" s="264">
        <f t="shared" si="38"/>
        <v>2500</v>
      </c>
      <c r="T142" s="264">
        <f t="shared" si="38"/>
        <v>0</v>
      </c>
      <c r="U142" s="264">
        <f t="shared" si="38"/>
        <v>0</v>
      </c>
      <c r="V142" s="264">
        <f t="shared" si="38"/>
        <v>2500</v>
      </c>
      <c r="W142" s="259"/>
      <c r="Y142" s="259"/>
      <c r="Z142" s="259"/>
      <c r="AA142" s="259"/>
      <c r="AB142" s="259"/>
    </row>
    <row r="143" spans="1:28" s="268" customFormat="1" ht="60" customHeight="1">
      <c r="A143" s="260">
        <v>1</v>
      </c>
      <c r="B143" s="273" t="s">
        <v>1007</v>
      </c>
      <c r="C143" s="262" t="s">
        <v>39</v>
      </c>
      <c r="D143" s="260"/>
      <c r="E143" s="274"/>
      <c r="F143" s="274"/>
      <c r="G143" s="294"/>
      <c r="H143" s="275" t="s">
        <v>1012</v>
      </c>
      <c r="I143" s="276">
        <v>14900</v>
      </c>
      <c r="J143" s="276">
        <v>11900</v>
      </c>
      <c r="K143" s="276"/>
      <c r="L143" s="276"/>
      <c r="M143" s="276">
        <v>500</v>
      </c>
      <c r="N143" s="276">
        <f t="shared" si="26"/>
        <v>500</v>
      </c>
      <c r="O143" s="276"/>
      <c r="P143" s="276"/>
      <c r="Q143" s="276"/>
      <c r="R143" s="276"/>
      <c r="S143" s="296">
        <v>500</v>
      </c>
      <c r="T143" s="276">
        <f t="shared" si="27"/>
        <v>0</v>
      </c>
      <c r="U143" s="276">
        <f t="shared" si="28"/>
        <v>0</v>
      </c>
      <c r="V143" s="296">
        <v>500</v>
      </c>
      <c r="W143" s="259"/>
      <c r="Y143" s="259"/>
      <c r="Z143" s="259"/>
      <c r="AA143" s="259"/>
      <c r="AB143" s="259">
        <v>1</v>
      </c>
    </row>
    <row r="144" spans="1:28" s="268" customFormat="1" ht="63" customHeight="1">
      <c r="A144" s="260">
        <v>2</v>
      </c>
      <c r="B144" s="273" t="s">
        <v>1008</v>
      </c>
      <c r="C144" s="262" t="s">
        <v>39</v>
      </c>
      <c r="D144" s="260"/>
      <c r="E144" s="274"/>
      <c r="F144" s="274"/>
      <c r="G144" s="294"/>
      <c r="H144" s="275" t="s">
        <v>1013</v>
      </c>
      <c r="I144" s="276">
        <v>14900</v>
      </c>
      <c r="J144" s="276">
        <v>11900</v>
      </c>
      <c r="K144" s="276"/>
      <c r="L144" s="276"/>
      <c r="M144" s="276">
        <v>500</v>
      </c>
      <c r="N144" s="276">
        <f t="shared" si="26"/>
        <v>500</v>
      </c>
      <c r="O144" s="276"/>
      <c r="P144" s="276"/>
      <c r="Q144" s="276"/>
      <c r="R144" s="276"/>
      <c r="S144" s="296">
        <v>500</v>
      </c>
      <c r="T144" s="276">
        <f t="shared" si="27"/>
        <v>0</v>
      </c>
      <c r="U144" s="276">
        <f t="shared" si="28"/>
        <v>0</v>
      </c>
      <c r="V144" s="296">
        <v>500</v>
      </c>
      <c r="W144" s="259"/>
      <c r="Y144" s="259"/>
      <c r="Z144" s="259"/>
      <c r="AA144" s="259"/>
      <c r="AB144" s="259">
        <v>1</v>
      </c>
    </row>
    <row r="145" spans="1:28" s="268" customFormat="1" ht="55.5" customHeight="1">
      <c r="A145" s="260">
        <v>3</v>
      </c>
      <c r="B145" s="273" t="s">
        <v>1009</v>
      </c>
      <c r="C145" s="262" t="s">
        <v>39</v>
      </c>
      <c r="D145" s="260"/>
      <c r="E145" s="274"/>
      <c r="F145" s="274"/>
      <c r="G145" s="294"/>
      <c r="H145" s="275" t="s">
        <v>1014</v>
      </c>
      <c r="I145" s="276">
        <v>14900</v>
      </c>
      <c r="J145" s="276">
        <v>11900</v>
      </c>
      <c r="K145" s="276"/>
      <c r="L145" s="276"/>
      <c r="M145" s="276">
        <v>500</v>
      </c>
      <c r="N145" s="276">
        <f t="shared" si="26"/>
        <v>500</v>
      </c>
      <c r="O145" s="276"/>
      <c r="P145" s="276"/>
      <c r="Q145" s="276"/>
      <c r="R145" s="276"/>
      <c r="S145" s="296">
        <v>500</v>
      </c>
      <c r="T145" s="276">
        <f t="shared" si="27"/>
        <v>0</v>
      </c>
      <c r="U145" s="276">
        <f t="shared" si="28"/>
        <v>0</v>
      </c>
      <c r="V145" s="296">
        <v>500</v>
      </c>
      <c r="W145" s="259"/>
      <c r="Y145" s="259"/>
      <c r="Z145" s="259"/>
      <c r="AA145" s="259"/>
      <c r="AB145" s="259">
        <v>1</v>
      </c>
    </row>
    <row r="146" spans="1:28" s="268" customFormat="1" ht="55.5" customHeight="1">
      <c r="A146" s="260">
        <v>4</v>
      </c>
      <c r="B146" s="273" t="s">
        <v>1010</v>
      </c>
      <c r="C146" s="262" t="s">
        <v>39</v>
      </c>
      <c r="D146" s="260"/>
      <c r="E146" s="274"/>
      <c r="F146" s="274"/>
      <c r="G146" s="294"/>
      <c r="H146" s="275" t="s">
        <v>1015</v>
      </c>
      <c r="I146" s="276">
        <v>14900</v>
      </c>
      <c r="J146" s="276">
        <v>11900</v>
      </c>
      <c r="K146" s="276"/>
      <c r="L146" s="276"/>
      <c r="M146" s="276">
        <v>500</v>
      </c>
      <c r="N146" s="276">
        <f t="shared" si="26"/>
        <v>500</v>
      </c>
      <c r="O146" s="276"/>
      <c r="P146" s="276"/>
      <c r="Q146" s="276"/>
      <c r="R146" s="276"/>
      <c r="S146" s="296">
        <v>500</v>
      </c>
      <c r="T146" s="276">
        <f t="shared" si="27"/>
        <v>0</v>
      </c>
      <c r="U146" s="276">
        <f t="shared" si="28"/>
        <v>0</v>
      </c>
      <c r="V146" s="296">
        <v>500</v>
      </c>
      <c r="W146" s="259"/>
      <c r="Y146" s="259"/>
      <c r="Z146" s="259"/>
      <c r="AA146" s="259"/>
      <c r="AB146" s="259">
        <v>1</v>
      </c>
    </row>
    <row r="147" spans="1:28" s="268" customFormat="1" ht="52.5" customHeight="1">
      <c r="A147" s="260">
        <v>5</v>
      </c>
      <c r="B147" s="273" t="s">
        <v>1011</v>
      </c>
      <c r="C147" s="262" t="s">
        <v>39</v>
      </c>
      <c r="D147" s="260"/>
      <c r="E147" s="274"/>
      <c r="F147" s="274"/>
      <c r="G147" s="294"/>
      <c r="H147" s="275" t="s">
        <v>1016</v>
      </c>
      <c r="I147" s="276">
        <v>14900</v>
      </c>
      <c r="J147" s="276">
        <v>11900</v>
      </c>
      <c r="K147" s="276"/>
      <c r="L147" s="276"/>
      <c r="M147" s="276">
        <v>500</v>
      </c>
      <c r="N147" s="276">
        <f t="shared" si="26"/>
        <v>500</v>
      </c>
      <c r="O147" s="276"/>
      <c r="P147" s="276"/>
      <c r="Q147" s="276"/>
      <c r="R147" s="276"/>
      <c r="S147" s="296">
        <v>500</v>
      </c>
      <c r="T147" s="276">
        <f t="shared" si="27"/>
        <v>0</v>
      </c>
      <c r="U147" s="276">
        <f t="shared" si="28"/>
        <v>0</v>
      </c>
      <c r="V147" s="296">
        <v>500</v>
      </c>
      <c r="W147" s="259"/>
      <c r="Y147" s="259"/>
      <c r="Z147" s="259"/>
      <c r="AA147" s="259"/>
      <c r="AB147" s="259">
        <v>1</v>
      </c>
    </row>
    <row r="148" spans="1:28" s="268" customFormat="1" ht="41.25" customHeight="1">
      <c r="A148" s="261" t="s">
        <v>471</v>
      </c>
      <c r="B148" s="290" t="s">
        <v>472</v>
      </c>
      <c r="C148" s="262"/>
      <c r="D148" s="261"/>
      <c r="E148" s="274"/>
      <c r="F148" s="274"/>
      <c r="G148" s="261"/>
      <c r="H148" s="263"/>
      <c r="I148" s="264">
        <f>I149</f>
        <v>28002</v>
      </c>
      <c r="J148" s="264">
        <f t="shared" ref="J148:V148" si="39">J149</f>
        <v>28002</v>
      </c>
      <c r="K148" s="264">
        <f t="shared" si="39"/>
        <v>600</v>
      </c>
      <c r="L148" s="264">
        <f t="shared" si="39"/>
        <v>600</v>
      </c>
      <c r="M148" s="264">
        <f t="shared" si="39"/>
        <v>20718</v>
      </c>
      <c r="N148" s="264">
        <f t="shared" si="39"/>
        <v>21916.936000000002</v>
      </c>
      <c r="O148" s="264">
        <f t="shared" si="39"/>
        <v>0</v>
      </c>
      <c r="P148" s="264">
        <f t="shared" si="39"/>
        <v>4000</v>
      </c>
      <c r="Q148" s="264">
        <f t="shared" si="39"/>
        <v>8299</v>
      </c>
      <c r="R148" s="264">
        <f t="shared" si="39"/>
        <v>3217.9360000000001</v>
      </c>
      <c r="S148" s="264">
        <f t="shared" si="39"/>
        <v>6400</v>
      </c>
      <c r="T148" s="264">
        <f t="shared" si="39"/>
        <v>1199</v>
      </c>
      <c r="U148" s="264">
        <f t="shared" si="39"/>
        <v>6.400000000030559E-2</v>
      </c>
      <c r="V148" s="264">
        <f t="shared" si="39"/>
        <v>21916.936000000002</v>
      </c>
      <c r="W148" s="259"/>
      <c r="Y148" s="259"/>
      <c r="Z148" s="259"/>
      <c r="AA148" s="259"/>
      <c r="AB148" s="259"/>
    </row>
    <row r="149" spans="1:28" s="268" customFormat="1" ht="41.25" customHeight="1">
      <c r="A149" s="271" t="s">
        <v>408</v>
      </c>
      <c r="B149" s="272" t="s">
        <v>36</v>
      </c>
      <c r="C149" s="262"/>
      <c r="D149" s="261"/>
      <c r="E149" s="274"/>
      <c r="F149" s="274"/>
      <c r="G149" s="261"/>
      <c r="H149" s="263"/>
      <c r="I149" s="264">
        <f>I150+I153</f>
        <v>28002</v>
      </c>
      <c r="J149" s="264">
        <f t="shared" ref="J149:M149" si="40">J150+J153</f>
        <v>28002</v>
      </c>
      <c r="K149" s="264">
        <f t="shared" si="40"/>
        <v>600</v>
      </c>
      <c r="L149" s="264">
        <f t="shared" si="40"/>
        <v>600</v>
      </c>
      <c r="M149" s="264">
        <f t="shared" si="40"/>
        <v>20718</v>
      </c>
      <c r="N149" s="264">
        <f t="shared" ref="N149:V149" si="41">N150+N153</f>
        <v>21916.936000000002</v>
      </c>
      <c r="O149" s="264">
        <f t="shared" si="41"/>
        <v>0</v>
      </c>
      <c r="P149" s="264">
        <f t="shared" si="41"/>
        <v>4000</v>
      </c>
      <c r="Q149" s="264">
        <f t="shared" si="41"/>
        <v>8299</v>
      </c>
      <c r="R149" s="264">
        <f t="shared" si="41"/>
        <v>3217.9360000000001</v>
      </c>
      <c r="S149" s="264">
        <f t="shared" si="41"/>
        <v>6400</v>
      </c>
      <c r="T149" s="264">
        <f t="shared" si="41"/>
        <v>1199</v>
      </c>
      <c r="U149" s="264">
        <f t="shared" si="41"/>
        <v>6.400000000030559E-2</v>
      </c>
      <c r="V149" s="264">
        <f t="shared" si="41"/>
        <v>21916.936000000002</v>
      </c>
      <c r="W149" s="259"/>
      <c r="Y149" s="259"/>
      <c r="Z149" s="259"/>
      <c r="AA149" s="259"/>
      <c r="AB149" s="259"/>
    </row>
    <row r="150" spans="1:28" s="288" customFormat="1" ht="51" customHeight="1">
      <c r="A150" s="279" t="s">
        <v>96</v>
      </c>
      <c r="B150" s="280" t="s">
        <v>123</v>
      </c>
      <c r="C150" s="306"/>
      <c r="D150" s="282"/>
      <c r="E150" s="307"/>
      <c r="F150" s="307"/>
      <c r="G150" s="282"/>
      <c r="H150" s="284"/>
      <c r="I150" s="285">
        <f>SUM(I151:I152)</f>
        <v>17000</v>
      </c>
      <c r="J150" s="285">
        <f t="shared" ref="J150:M150" si="42">SUM(J151:J152)</f>
        <v>17000</v>
      </c>
      <c r="K150" s="285">
        <f t="shared" si="42"/>
        <v>400</v>
      </c>
      <c r="L150" s="285">
        <f t="shared" si="42"/>
        <v>400</v>
      </c>
      <c r="M150" s="285">
        <f t="shared" si="42"/>
        <v>16418</v>
      </c>
      <c r="N150" s="285">
        <f t="shared" ref="N150:V150" si="43">SUM(N151:N152)</f>
        <v>16417.936000000002</v>
      </c>
      <c r="O150" s="285">
        <f t="shared" si="43"/>
        <v>0</v>
      </c>
      <c r="P150" s="285">
        <f t="shared" si="43"/>
        <v>4000</v>
      </c>
      <c r="Q150" s="285">
        <f t="shared" si="43"/>
        <v>8299</v>
      </c>
      <c r="R150" s="285">
        <f t="shared" si="43"/>
        <v>3217.9360000000001</v>
      </c>
      <c r="S150" s="285">
        <f t="shared" si="43"/>
        <v>901</v>
      </c>
      <c r="T150" s="285">
        <f t="shared" si="43"/>
        <v>0</v>
      </c>
      <c r="U150" s="285">
        <f t="shared" si="43"/>
        <v>6.400000000030559E-2</v>
      </c>
      <c r="V150" s="285">
        <f t="shared" si="43"/>
        <v>16417.936000000002</v>
      </c>
      <c r="W150" s="308"/>
      <c r="Y150" s="308"/>
      <c r="Z150" s="308"/>
      <c r="AA150" s="308"/>
      <c r="AB150" s="308"/>
    </row>
    <row r="151" spans="1:28" s="268" customFormat="1" ht="51" customHeight="1">
      <c r="A151" s="260">
        <v>1</v>
      </c>
      <c r="B151" s="309" t="s">
        <v>473</v>
      </c>
      <c r="C151" s="262" t="s">
        <v>39</v>
      </c>
      <c r="D151" s="260" t="s">
        <v>229</v>
      </c>
      <c r="E151" s="274">
        <v>2022</v>
      </c>
      <c r="F151" s="274">
        <v>2023</v>
      </c>
      <c r="G151" s="260" t="s">
        <v>706</v>
      </c>
      <c r="H151" s="275" t="s">
        <v>707</v>
      </c>
      <c r="I151" s="276">
        <v>10000</v>
      </c>
      <c r="J151" s="276">
        <v>10000</v>
      </c>
      <c r="K151" s="276">
        <v>200</v>
      </c>
      <c r="L151" s="276">
        <v>200</v>
      </c>
      <c r="M151" s="276">
        <v>9618</v>
      </c>
      <c r="N151" s="276">
        <f t="shared" si="26"/>
        <v>9617.9359999999997</v>
      </c>
      <c r="O151" s="276"/>
      <c r="P151" s="276">
        <v>4000</v>
      </c>
      <c r="Q151" s="276">
        <v>5400</v>
      </c>
      <c r="R151" s="276">
        <v>217.93600000000001</v>
      </c>
      <c r="S151" s="296"/>
      <c r="T151" s="276">
        <f t="shared" si="27"/>
        <v>0</v>
      </c>
      <c r="U151" s="276">
        <f t="shared" si="28"/>
        <v>6.400000000030559E-2</v>
      </c>
      <c r="V151" s="296">
        <v>9617.9359999999997</v>
      </c>
      <c r="W151" s="259"/>
      <c r="Y151" s="259"/>
      <c r="Z151" s="259">
        <v>1</v>
      </c>
      <c r="AA151" s="259"/>
      <c r="AB151" s="259"/>
    </row>
    <row r="152" spans="1:28" s="268" customFormat="1" ht="51" customHeight="1">
      <c r="A152" s="260">
        <v>2</v>
      </c>
      <c r="B152" s="309" t="s">
        <v>475</v>
      </c>
      <c r="C152" s="262" t="s">
        <v>39</v>
      </c>
      <c r="D152" s="260" t="s">
        <v>229</v>
      </c>
      <c r="E152" s="274">
        <v>2023</v>
      </c>
      <c r="F152" s="274">
        <v>2024</v>
      </c>
      <c r="G152" s="260"/>
      <c r="H152" s="275" t="s">
        <v>708</v>
      </c>
      <c r="I152" s="276">
        <v>7000</v>
      </c>
      <c r="J152" s="276">
        <v>7000</v>
      </c>
      <c r="K152" s="276">
        <v>200</v>
      </c>
      <c r="L152" s="276">
        <v>200</v>
      </c>
      <c r="M152" s="276">
        <v>6800</v>
      </c>
      <c r="N152" s="276">
        <f t="shared" ref="N152:N214" si="44">SUM(O152:S152)</f>
        <v>6800</v>
      </c>
      <c r="O152" s="276"/>
      <c r="P152" s="276"/>
      <c r="Q152" s="276">
        <v>2899</v>
      </c>
      <c r="R152" s="276">
        <v>3000</v>
      </c>
      <c r="S152" s="296">
        <v>901</v>
      </c>
      <c r="T152" s="276">
        <f t="shared" si="27"/>
        <v>0</v>
      </c>
      <c r="U152" s="276">
        <f t="shared" si="28"/>
        <v>0</v>
      </c>
      <c r="V152" s="296">
        <v>6800</v>
      </c>
      <c r="W152" s="259"/>
      <c r="Y152" s="259"/>
      <c r="Z152" s="259">
        <v>1</v>
      </c>
      <c r="AA152" s="259"/>
      <c r="AB152" s="259"/>
    </row>
    <row r="153" spans="1:28" s="288" customFormat="1" ht="39.75" customHeight="1">
      <c r="A153" s="279" t="s">
        <v>97</v>
      </c>
      <c r="B153" s="280" t="s">
        <v>98</v>
      </c>
      <c r="C153" s="281"/>
      <c r="D153" s="282"/>
      <c r="E153" s="283"/>
      <c r="F153" s="283"/>
      <c r="G153" s="282"/>
      <c r="H153" s="284"/>
      <c r="I153" s="285">
        <f>I154</f>
        <v>11002</v>
      </c>
      <c r="J153" s="285">
        <f t="shared" ref="J153:V153" si="45">J154</f>
        <v>11002</v>
      </c>
      <c r="K153" s="285">
        <f t="shared" si="45"/>
        <v>200</v>
      </c>
      <c r="L153" s="285">
        <f t="shared" si="45"/>
        <v>200</v>
      </c>
      <c r="M153" s="285">
        <f t="shared" si="45"/>
        <v>4300</v>
      </c>
      <c r="N153" s="285">
        <f t="shared" si="45"/>
        <v>5499</v>
      </c>
      <c r="O153" s="285">
        <f t="shared" si="45"/>
        <v>0</v>
      </c>
      <c r="P153" s="285">
        <f t="shared" si="45"/>
        <v>0</v>
      </c>
      <c r="Q153" s="285">
        <f t="shared" si="45"/>
        <v>0</v>
      </c>
      <c r="R153" s="285">
        <f t="shared" si="45"/>
        <v>0</v>
      </c>
      <c r="S153" s="285">
        <f t="shared" si="45"/>
        <v>5499</v>
      </c>
      <c r="T153" s="285">
        <f t="shared" si="45"/>
        <v>1199</v>
      </c>
      <c r="U153" s="285">
        <f t="shared" si="45"/>
        <v>0</v>
      </c>
      <c r="V153" s="285">
        <f t="shared" si="45"/>
        <v>5499</v>
      </c>
      <c r="W153" s="287"/>
      <c r="Y153" s="287"/>
      <c r="Z153" s="287"/>
      <c r="AA153" s="287"/>
      <c r="AB153" s="287"/>
    </row>
    <row r="154" spans="1:28" s="268" customFormat="1" ht="63.75" customHeight="1">
      <c r="A154" s="260">
        <v>1</v>
      </c>
      <c r="B154" s="309" t="s">
        <v>474</v>
      </c>
      <c r="C154" s="262" t="s">
        <v>39</v>
      </c>
      <c r="D154" s="260"/>
      <c r="E154" s="274"/>
      <c r="F154" s="274"/>
      <c r="G154" s="260"/>
      <c r="H154" s="275" t="s">
        <v>1049</v>
      </c>
      <c r="I154" s="276">
        <v>11002</v>
      </c>
      <c r="J154" s="276">
        <v>11002</v>
      </c>
      <c r="K154" s="276">
        <v>200</v>
      </c>
      <c r="L154" s="276">
        <v>200</v>
      </c>
      <c r="M154" s="276">
        <v>4300</v>
      </c>
      <c r="N154" s="276">
        <f t="shared" si="44"/>
        <v>5499</v>
      </c>
      <c r="O154" s="276"/>
      <c r="P154" s="276"/>
      <c r="Q154" s="276"/>
      <c r="R154" s="276">
        <v>0</v>
      </c>
      <c r="S154" s="296">
        <v>5499</v>
      </c>
      <c r="T154" s="276">
        <f t="shared" si="27"/>
        <v>1199</v>
      </c>
      <c r="U154" s="276">
        <f t="shared" si="28"/>
        <v>0</v>
      </c>
      <c r="V154" s="296">
        <v>5499</v>
      </c>
      <c r="W154" s="259"/>
      <c r="Y154" s="259"/>
      <c r="Z154" s="259"/>
      <c r="AA154" s="259">
        <v>1</v>
      </c>
      <c r="AB154" s="259"/>
    </row>
    <row r="155" spans="1:28" s="268" customFormat="1" ht="29.25" customHeight="1">
      <c r="A155" s="261" t="s">
        <v>476</v>
      </c>
      <c r="B155" s="290" t="s">
        <v>477</v>
      </c>
      <c r="C155" s="262"/>
      <c r="D155" s="261"/>
      <c r="E155" s="274"/>
      <c r="F155" s="274"/>
      <c r="G155" s="261"/>
      <c r="H155" s="263"/>
      <c r="I155" s="264">
        <f>I156+I159+I170</f>
        <v>427210</v>
      </c>
      <c r="J155" s="264">
        <f t="shared" ref="J155:M155" si="46">J156+J159+J170</f>
        <v>145298</v>
      </c>
      <c r="K155" s="264">
        <f t="shared" si="46"/>
        <v>4300</v>
      </c>
      <c r="L155" s="264">
        <f t="shared" si="46"/>
        <v>4300</v>
      </c>
      <c r="M155" s="264">
        <f t="shared" si="46"/>
        <v>119042</v>
      </c>
      <c r="N155" s="264">
        <f t="shared" ref="N155:V155" si="47">N156+N159+N170</f>
        <v>119344</v>
      </c>
      <c r="O155" s="264">
        <f t="shared" si="47"/>
        <v>2673</v>
      </c>
      <c r="P155" s="264">
        <f t="shared" si="47"/>
        <v>20500</v>
      </c>
      <c r="Q155" s="264">
        <f t="shared" si="47"/>
        <v>20391</v>
      </c>
      <c r="R155" s="264">
        <f t="shared" si="47"/>
        <v>45369</v>
      </c>
      <c r="S155" s="264">
        <f t="shared" si="47"/>
        <v>30411</v>
      </c>
      <c r="T155" s="264">
        <f t="shared" si="47"/>
        <v>630</v>
      </c>
      <c r="U155" s="264">
        <f t="shared" si="47"/>
        <v>328</v>
      </c>
      <c r="V155" s="264">
        <f t="shared" si="47"/>
        <v>119344</v>
      </c>
      <c r="W155" s="259"/>
      <c r="Y155" s="259"/>
      <c r="Z155" s="259"/>
      <c r="AA155" s="259"/>
      <c r="AB155" s="259"/>
    </row>
    <row r="156" spans="1:28" s="268" customFormat="1" ht="42.4" customHeight="1">
      <c r="A156" s="271" t="s">
        <v>408</v>
      </c>
      <c r="B156" s="272" t="s">
        <v>35</v>
      </c>
      <c r="C156" s="262"/>
      <c r="D156" s="261"/>
      <c r="E156" s="274"/>
      <c r="F156" s="274"/>
      <c r="G156" s="261"/>
      <c r="H156" s="263"/>
      <c r="I156" s="264">
        <f>SUM(I157:I158)</f>
        <v>146545</v>
      </c>
      <c r="J156" s="264">
        <f t="shared" ref="J156:M156" si="48">SUM(J157:J158)</f>
        <v>39850</v>
      </c>
      <c r="K156" s="264">
        <f t="shared" si="48"/>
        <v>3300</v>
      </c>
      <c r="L156" s="264">
        <f t="shared" si="48"/>
        <v>3300</v>
      </c>
      <c r="M156" s="264">
        <f t="shared" si="48"/>
        <v>32700</v>
      </c>
      <c r="N156" s="264">
        <f t="shared" ref="N156:V156" si="49">SUM(N157:N158)</f>
        <v>32372</v>
      </c>
      <c r="O156" s="264">
        <f t="shared" si="49"/>
        <v>0</v>
      </c>
      <c r="P156" s="264">
        <f t="shared" si="49"/>
        <v>3700</v>
      </c>
      <c r="Q156" s="264">
        <f t="shared" si="49"/>
        <v>3672</v>
      </c>
      <c r="R156" s="264">
        <f t="shared" si="49"/>
        <v>15000</v>
      </c>
      <c r="S156" s="264">
        <f t="shared" si="49"/>
        <v>10000</v>
      </c>
      <c r="T156" s="264">
        <f t="shared" si="49"/>
        <v>0</v>
      </c>
      <c r="U156" s="264">
        <f t="shared" si="49"/>
        <v>328</v>
      </c>
      <c r="V156" s="264">
        <f t="shared" si="49"/>
        <v>32372</v>
      </c>
      <c r="W156" s="259"/>
      <c r="Y156" s="259"/>
      <c r="Z156" s="259"/>
      <c r="AA156" s="259"/>
      <c r="AB156" s="259"/>
    </row>
    <row r="157" spans="1:28" s="268" customFormat="1" ht="60" customHeight="1">
      <c r="A157" s="260">
        <v>1</v>
      </c>
      <c r="B157" s="273" t="s">
        <v>478</v>
      </c>
      <c r="C157" s="262" t="s">
        <v>39</v>
      </c>
      <c r="D157" s="260" t="s">
        <v>229</v>
      </c>
      <c r="E157" s="274">
        <v>2020</v>
      </c>
      <c r="F157" s="274">
        <v>2023</v>
      </c>
      <c r="G157" s="260" t="s">
        <v>709</v>
      </c>
      <c r="H157" s="275" t="s">
        <v>710</v>
      </c>
      <c r="I157" s="276">
        <v>14850</v>
      </c>
      <c r="J157" s="276">
        <v>14850</v>
      </c>
      <c r="K157" s="276">
        <v>3300</v>
      </c>
      <c r="L157" s="276">
        <v>3300</v>
      </c>
      <c r="M157" s="276">
        <v>7700</v>
      </c>
      <c r="N157" s="276">
        <f t="shared" si="44"/>
        <v>7372</v>
      </c>
      <c r="O157" s="276"/>
      <c r="P157" s="276">
        <v>3700</v>
      </c>
      <c r="Q157" s="276">
        <v>3672</v>
      </c>
      <c r="R157" s="276"/>
      <c r="S157" s="296"/>
      <c r="T157" s="276">
        <f t="shared" ref="T157:T218" si="50">IF(V157&gt;M157,V157-M157,0)</f>
        <v>0</v>
      </c>
      <c r="U157" s="276">
        <f t="shared" ref="U157:U218" si="51">IF(V157&lt;M157,M157-V157,0)</f>
        <v>328</v>
      </c>
      <c r="V157" s="296">
        <v>7372</v>
      </c>
      <c r="W157" s="259"/>
      <c r="Y157" s="259">
        <v>1</v>
      </c>
      <c r="Z157" s="259"/>
      <c r="AA157" s="259"/>
      <c r="AB157" s="259"/>
    </row>
    <row r="158" spans="1:28" s="268" customFormat="1" ht="152.25" customHeight="1">
      <c r="A158" s="260">
        <v>2</v>
      </c>
      <c r="B158" s="273" t="s">
        <v>487</v>
      </c>
      <c r="C158" s="262" t="s">
        <v>38</v>
      </c>
      <c r="D158" s="260" t="s">
        <v>229</v>
      </c>
      <c r="E158" s="274">
        <v>2010</v>
      </c>
      <c r="F158" s="274">
        <v>2025</v>
      </c>
      <c r="G158" s="260" t="s">
        <v>251</v>
      </c>
      <c r="H158" s="275" t="s">
        <v>297</v>
      </c>
      <c r="I158" s="276">
        <v>131695</v>
      </c>
      <c r="J158" s="276">
        <v>25000</v>
      </c>
      <c r="K158" s="276"/>
      <c r="L158" s="276"/>
      <c r="M158" s="276">
        <v>25000</v>
      </c>
      <c r="N158" s="276">
        <f t="shared" si="44"/>
        <v>25000</v>
      </c>
      <c r="O158" s="276"/>
      <c r="P158" s="276"/>
      <c r="Q158" s="276"/>
      <c r="R158" s="276">
        <v>15000</v>
      </c>
      <c r="S158" s="296">
        <v>10000</v>
      </c>
      <c r="T158" s="276">
        <f t="shared" si="50"/>
        <v>0</v>
      </c>
      <c r="U158" s="276">
        <f t="shared" si="51"/>
        <v>0</v>
      </c>
      <c r="V158" s="296">
        <v>25000</v>
      </c>
      <c r="W158" s="259"/>
      <c r="Y158" s="259">
        <v>1</v>
      </c>
      <c r="Z158" s="259"/>
      <c r="AA158" s="259"/>
      <c r="AB158" s="259"/>
    </row>
    <row r="159" spans="1:28" s="268" customFormat="1" ht="38.85" customHeight="1">
      <c r="A159" s="271" t="s">
        <v>412</v>
      </c>
      <c r="B159" s="272" t="s">
        <v>36</v>
      </c>
      <c r="C159" s="262"/>
      <c r="D159" s="261"/>
      <c r="E159" s="274"/>
      <c r="F159" s="274"/>
      <c r="G159" s="261"/>
      <c r="H159" s="263"/>
      <c r="I159" s="264">
        <f>I160</f>
        <v>272665</v>
      </c>
      <c r="J159" s="264">
        <f t="shared" ref="J159:V159" si="52">J160</f>
        <v>97448</v>
      </c>
      <c r="K159" s="264">
        <f t="shared" si="52"/>
        <v>1000</v>
      </c>
      <c r="L159" s="264">
        <f t="shared" si="52"/>
        <v>1000</v>
      </c>
      <c r="M159" s="264">
        <f t="shared" si="52"/>
        <v>85842</v>
      </c>
      <c r="N159" s="264">
        <f t="shared" si="52"/>
        <v>86472</v>
      </c>
      <c r="O159" s="264">
        <f t="shared" si="52"/>
        <v>2673</v>
      </c>
      <c r="P159" s="264">
        <f t="shared" si="52"/>
        <v>16800</v>
      </c>
      <c r="Q159" s="264">
        <f t="shared" si="52"/>
        <v>16719</v>
      </c>
      <c r="R159" s="264">
        <f t="shared" si="52"/>
        <v>30369</v>
      </c>
      <c r="S159" s="264">
        <f t="shared" si="52"/>
        <v>19911</v>
      </c>
      <c r="T159" s="264">
        <f t="shared" si="52"/>
        <v>630</v>
      </c>
      <c r="U159" s="264">
        <f t="shared" si="52"/>
        <v>0</v>
      </c>
      <c r="V159" s="264">
        <f t="shared" si="52"/>
        <v>86472</v>
      </c>
      <c r="W159" s="259"/>
      <c r="Y159" s="259"/>
      <c r="Z159" s="259"/>
      <c r="AA159" s="259"/>
      <c r="AB159" s="259"/>
    </row>
    <row r="160" spans="1:28" s="288" customFormat="1" ht="38.85" customHeight="1">
      <c r="A160" s="279" t="s">
        <v>96</v>
      </c>
      <c r="B160" s="280" t="s">
        <v>123</v>
      </c>
      <c r="C160" s="306"/>
      <c r="D160" s="282"/>
      <c r="E160" s="307"/>
      <c r="F160" s="307"/>
      <c r="G160" s="282"/>
      <c r="H160" s="284"/>
      <c r="I160" s="285">
        <f>SUM(I161:I169)</f>
        <v>272665</v>
      </c>
      <c r="J160" s="285">
        <f t="shared" ref="J160:M160" si="53">SUM(J161:J169)</f>
        <v>97448</v>
      </c>
      <c r="K160" s="285">
        <f t="shared" si="53"/>
        <v>1000</v>
      </c>
      <c r="L160" s="285">
        <f t="shared" si="53"/>
        <v>1000</v>
      </c>
      <c r="M160" s="285">
        <f t="shared" si="53"/>
        <v>85842</v>
      </c>
      <c r="N160" s="285">
        <f t="shared" ref="N160:V160" si="54">SUM(N161:N169)</f>
        <v>86472</v>
      </c>
      <c r="O160" s="285">
        <f t="shared" si="54"/>
        <v>2673</v>
      </c>
      <c r="P160" s="285">
        <f t="shared" si="54"/>
        <v>16800</v>
      </c>
      <c r="Q160" s="285">
        <f t="shared" si="54"/>
        <v>16719</v>
      </c>
      <c r="R160" s="285">
        <f t="shared" si="54"/>
        <v>30369</v>
      </c>
      <c r="S160" s="285">
        <f t="shared" si="54"/>
        <v>19911</v>
      </c>
      <c r="T160" s="285">
        <f t="shared" si="54"/>
        <v>630</v>
      </c>
      <c r="U160" s="285">
        <f t="shared" si="54"/>
        <v>0</v>
      </c>
      <c r="V160" s="285">
        <f t="shared" si="54"/>
        <v>86472</v>
      </c>
      <c r="W160" s="308"/>
      <c r="Y160" s="308"/>
      <c r="Z160" s="308"/>
      <c r="AA160" s="308"/>
      <c r="AB160" s="308"/>
    </row>
    <row r="161" spans="1:28" s="268" customFormat="1" ht="30.75">
      <c r="A161" s="260">
        <v>1</v>
      </c>
      <c r="B161" s="273" t="s">
        <v>479</v>
      </c>
      <c r="C161" s="262" t="s">
        <v>39</v>
      </c>
      <c r="D161" s="260" t="s">
        <v>630</v>
      </c>
      <c r="E161" s="274">
        <v>2022</v>
      </c>
      <c r="F161" s="274">
        <v>2023</v>
      </c>
      <c r="G161" s="260" t="s">
        <v>711</v>
      </c>
      <c r="H161" s="275" t="s">
        <v>712</v>
      </c>
      <c r="I161" s="276">
        <v>6000</v>
      </c>
      <c r="J161" s="276">
        <v>6000</v>
      </c>
      <c r="K161" s="276">
        <v>200</v>
      </c>
      <c r="L161" s="276">
        <v>200</v>
      </c>
      <c r="M161" s="276">
        <v>5698</v>
      </c>
      <c r="N161" s="276">
        <f t="shared" si="44"/>
        <v>5698</v>
      </c>
      <c r="O161" s="276"/>
      <c r="P161" s="276">
        <v>3000</v>
      </c>
      <c r="Q161" s="276">
        <v>2500</v>
      </c>
      <c r="R161" s="276">
        <v>198</v>
      </c>
      <c r="S161" s="296"/>
      <c r="T161" s="276">
        <f t="shared" si="50"/>
        <v>0</v>
      </c>
      <c r="U161" s="276">
        <f t="shared" si="51"/>
        <v>0</v>
      </c>
      <c r="V161" s="296">
        <v>5698</v>
      </c>
      <c r="W161" s="259"/>
      <c r="Y161" s="259"/>
      <c r="Z161" s="259">
        <v>1</v>
      </c>
      <c r="AA161" s="259"/>
      <c r="AB161" s="259"/>
    </row>
    <row r="162" spans="1:28" s="268" customFormat="1" ht="26.25">
      <c r="A162" s="260">
        <v>2</v>
      </c>
      <c r="B162" s="273" t="s">
        <v>480</v>
      </c>
      <c r="C162" s="262" t="s">
        <v>39</v>
      </c>
      <c r="D162" s="260" t="s">
        <v>629</v>
      </c>
      <c r="E162" s="274">
        <v>2022</v>
      </c>
      <c r="F162" s="274">
        <v>2023</v>
      </c>
      <c r="G162" s="260" t="s">
        <v>711</v>
      </c>
      <c r="H162" s="275" t="s">
        <v>713</v>
      </c>
      <c r="I162" s="276">
        <v>6000</v>
      </c>
      <c r="J162" s="276">
        <v>6000</v>
      </c>
      <c r="K162" s="276">
        <v>200</v>
      </c>
      <c r="L162" s="276">
        <v>200</v>
      </c>
      <c r="M162" s="276">
        <v>5719</v>
      </c>
      <c r="N162" s="276">
        <f t="shared" si="44"/>
        <v>5719</v>
      </c>
      <c r="O162" s="276"/>
      <c r="P162" s="276">
        <v>3000</v>
      </c>
      <c r="Q162" s="276">
        <v>2500</v>
      </c>
      <c r="R162" s="276">
        <v>219</v>
      </c>
      <c r="S162" s="296"/>
      <c r="T162" s="276">
        <f t="shared" si="50"/>
        <v>0</v>
      </c>
      <c r="U162" s="276">
        <f t="shared" si="51"/>
        <v>0</v>
      </c>
      <c r="V162" s="296">
        <v>5719</v>
      </c>
      <c r="W162" s="259"/>
      <c r="Y162" s="259"/>
      <c r="Z162" s="259">
        <v>1</v>
      </c>
      <c r="AA162" s="259"/>
      <c r="AB162" s="259"/>
    </row>
    <row r="163" spans="1:28" s="268" customFormat="1" ht="30.75">
      <c r="A163" s="260">
        <v>3</v>
      </c>
      <c r="B163" s="273" t="s">
        <v>481</v>
      </c>
      <c r="C163" s="262" t="s">
        <v>39</v>
      </c>
      <c r="D163" s="260" t="s">
        <v>631</v>
      </c>
      <c r="E163" s="274">
        <v>2022</v>
      </c>
      <c r="F163" s="274">
        <v>2023</v>
      </c>
      <c r="G163" s="260" t="s">
        <v>711</v>
      </c>
      <c r="H163" s="275" t="s">
        <v>714</v>
      </c>
      <c r="I163" s="276">
        <v>10000</v>
      </c>
      <c r="J163" s="276">
        <v>10000</v>
      </c>
      <c r="K163" s="276">
        <v>200</v>
      </c>
      <c r="L163" s="276">
        <v>200</v>
      </c>
      <c r="M163" s="276">
        <v>9416</v>
      </c>
      <c r="N163" s="276">
        <f t="shared" si="44"/>
        <v>9416</v>
      </c>
      <c r="O163" s="276"/>
      <c r="P163" s="276">
        <v>4000</v>
      </c>
      <c r="Q163" s="276">
        <v>5300</v>
      </c>
      <c r="R163" s="276">
        <v>116</v>
      </c>
      <c r="S163" s="296"/>
      <c r="T163" s="276">
        <f t="shared" si="50"/>
        <v>0</v>
      </c>
      <c r="U163" s="276">
        <f t="shared" si="51"/>
        <v>0</v>
      </c>
      <c r="V163" s="296">
        <v>9416</v>
      </c>
      <c r="W163" s="259"/>
      <c r="Y163" s="259"/>
      <c r="Z163" s="259">
        <v>1</v>
      </c>
      <c r="AA163" s="259"/>
      <c r="AB163" s="259"/>
    </row>
    <row r="164" spans="1:28" s="268" customFormat="1" ht="39.75" customHeight="1">
      <c r="A164" s="260">
        <v>4</v>
      </c>
      <c r="B164" s="273" t="s">
        <v>482</v>
      </c>
      <c r="C164" s="262" t="s">
        <v>39</v>
      </c>
      <c r="D164" s="260" t="s">
        <v>230</v>
      </c>
      <c r="E164" s="274">
        <v>2022</v>
      </c>
      <c r="F164" s="274">
        <v>2022</v>
      </c>
      <c r="G164" s="260" t="s">
        <v>715</v>
      </c>
      <c r="H164" s="275" t="s">
        <v>716</v>
      </c>
      <c r="I164" s="276">
        <v>2000</v>
      </c>
      <c r="J164" s="276">
        <v>2000</v>
      </c>
      <c r="K164" s="276">
        <v>200</v>
      </c>
      <c r="L164" s="276">
        <v>200</v>
      </c>
      <c r="M164" s="276">
        <v>1800</v>
      </c>
      <c r="N164" s="276">
        <f t="shared" si="44"/>
        <v>1800</v>
      </c>
      <c r="O164" s="276"/>
      <c r="P164" s="276">
        <v>1800</v>
      </c>
      <c r="Q164" s="276"/>
      <c r="R164" s="276"/>
      <c r="S164" s="296"/>
      <c r="T164" s="276">
        <f t="shared" si="50"/>
        <v>0</v>
      </c>
      <c r="U164" s="276">
        <f t="shared" si="51"/>
        <v>0</v>
      </c>
      <c r="V164" s="296">
        <v>1800</v>
      </c>
      <c r="W164" s="259"/>
      <c r="Y164" s="259"/>
      <c r="Z164" s="259">
        <v>1</v>
      </c>
      <c r="AA164" s="259"/>
      <c r="AB164" s="259"/>
    </row>
    <row r="165" spans="1:28" s="268" customFormat="1" ht="46.9" customHeight="1">
      <c r="A165" s="260">
        <v>5</v>
      </c>
      <c r="B165" s="273" t="s">
        <v>483</v>
      </c>
      <c r="C165" s="262" t="s">
        <v>39</v>
      </c>
      <c r="D165" s="260" t="s">
        <v>627</v>
      </c>
      <c r="E165" s="274">
        <v>2022</v>
      </c>
      <c r="F165" s="274">
        <v>2022</v>
      </c>
      <c r="G165" s="260" t="s">
        <v>717</v>
      </c>
      <c r="H165" s="275" t="s">
        <v>718</v>
      </c>
      <c r="I165" s="276">
        <v>2000</v>
      </c>
      <c r="J165" s="276">
        <v>2000</v>
      </c>
      <c r="K165" s="276">
        <v>200</v>
      </c>
      <c r="L165" s="276">
        <v>200</v>
      </c>
      <c r="M165" s="276">
        <v>1800</v>
      </c>
      <c r="N165" s="276">
        <f t="shared" si="44"/>
        <v>1800</v>
      </c>
      <c r="O165" s="276"/>
      <c r="P165" s="276">
        <v>1800</v>
      </c>
      <c r="Q165" s="276"/>
      <c r="R165" s="276"/>
      <c r="S165" s="296"/>
      <c r="T165" s="276">
        <f t="shared" si="50"/>
        <v>0</v>
      </c>
      <c r="U165" s="276">
        <f t="shared" si="51"/>
        <v>0</v>
      </c>
      <c r="V165" s="296">
        <v>1800</v>
      </c>
      <c r="W165" s="259"/>
      <c r="Y165" s="259"/>
      <c r="Z165" s="259">
        <v>1</v>
      </c>
      <c r="AA165" s="259"/>
      <c r="AB165" s="259"/>
    </row>
    <row r="166" spans="1:28" s="268" customFormat="1" ht="77.650000000000006" customHeight="1">
      <c r="A166" s="260">
        <v>6</v>
      </c>
      <c r="B166" s="273" t="s">
        <v>413</v>
      </c>
      <c r="C166" s="262" t="s">
        <v>38</v>
      </c>
      <c r="D166" s="260"/>
      <c r="E166" s="274">
        <v>2021</v>
      </c>
      <c r="F166" s="274">
        <v>2024</v>
      </c>
      <c r="G166" s="260"/>
      <c r="H166" s="275" t="s">
        <v>646</v>
      </c>
      <c r="I166" s="276">
        <v>160665</v>
      </c>
      <c r="J166" s="276">
        <v>15433</v>
      </c>
      <c r="K166" s="276"/>
      <c r="L166" s="276"/>
      <c r="M166" s="276">
        <v>15433</v>
      </c>
      <c r="N166" s="276">
        <f t="shared" si="44"/>
        <v>15433</v>
      </c>
      <c r="O166" s="276">
        <v>2673</v>
      </c>
      <c r="P166" s="276">
        <v>3000</v>
      </c>
      <c r="Q166" s="276">
        <v>500</v>
      </c>
      <c r="R166" s="276">
        <v>3000</v>
      </c>
      <c r="S166" s="296">
        <v>6260</v>
      </c>
      <c r="T166" s="276">
        <f t="shared" si="50"/>
        <v>0</v>
      </c>
      <c r="U166" s="276">
        <f t="shared" si="51"/>
        <v>0</v>
      </c>
      <c r="V166" s="296">
        <v>15433</v>
      </c>
      <c r="W166" s="259"/>
      <c r="Y166" s="259"/>
      <c r="Z166" s="259">
        <v>1</v>
      </c>
      <c r="AA166" s="259"/>
      <c r="AB166" s="259"/>
    </row>
    <row r="167" spans="1:28" s="268" customFormat="1" ht="43.5" customHeight="1">
      <c r="A167" s="260">
        <v>7</v>
      </c>
      <c r="B167" s="273" t="s">
        <v>485</v>
      </c>
      <c r="C167" s="262" t="s">
        <v>39</v>
      </c>
      <c r="D167" s="260"/>
      <c r="E167" s="274">
        <v>2022</v>
      </c>
      <c r="F167" s="274">
        <v>2024</v>
      </c>
      <c r="G167" s="260"/>
      <c r="H167" s="275" t="s">
        <v>857</v>
      </c>
      <c r="I167" s="276">
        <v>28000</v>
      </c>
      <c r="J167" s="276">
        <v>14000</v>
      </c>
      <c r="K167" s="276"/>
      <c r="L167" s="276"/>
      <c r="M167" s="276">
        <v>13140</v>
      </c>
      <c r="N167" s="276">
        <f t="shared" si="44"/>
        <v>13770</v>
      </c>
      <c r="O167" s="276"/>
      <c r="P167" s="276"/>
      <c r="Q167" s="276"/>
      <c r="R167" s="276">
        <v>12000</v>
      </c>
      <c r="S167" s="296">
        <f>1140+630</f>
        <v>1770</v>
      </c>
      <c r="T167" s="276">
        <f t="shared" si="50"/>
        <v>630</v>
      </c>
      <c r="U167" s="276">
        <f t="shared" si="51"/>
        <v>0</v>
      </c>
      <c r="V167" s="296">
        <v>13770</v>
      </c>
      <c r="W167" s="262" t="s">
        <v>2004</v>
      </c>
      <c r="Y167" s="259"/>
      <c r="Z167" s="259">
        <v>1</v>
      </c>
      <c r="AA167" s="259"/>
      <c r="AB167" s="259"/>
    </row>
    <row r="168" spans="1:28" s="268" customFormat="1" ht="43.5" customHeight="1">
      <c r="A168" s="260">
        <v>8</v>
      </c>
      <c r="B168" s="273" t="s">
        <v>486</v>
      </c>
      <c r="C168" s="262" t="s">
        <v>39</v>
      </c>
      <c r="D168" s="260"/>
      <c r="E168" s="274">
        <v>2022</v>
      </c>
      <c r="F168" s="274">
        <v>2024</v>
      </c>
      <c r="G168" s="260"/>
      <c r="H168" s="275" t="s">
        <v>858</v>
      </c>
      <c r="I168" s="276">
        <v>30000</v>
      </c>
      <c r="J168" s="276">
        <v>14015</v>
      </c>
      <c r="K168" s="276"/>
      <c r="L168" s="276"/>
      <c r="M168" s="276">
        <v>4836</v>
      </c>
      <c r="N168" s="276">
        <f t="shared" si="44"/>
        <v>4836</v>
      </c>
      <c r="O168" s="276"/>
      <c r="P168" s="276"/>
      <c r="Q168" s="276"/>
      <c r="R168" s="276">
        <v>4836</v>
      </c>
      <c r="S168" s="296"/>
      <c r="T168" s="276">
        <f t="shared" si="50"/>
        <v>0</v>
      </c>
      <c r="U168" s="276">
        <f t="shared" si="51"/>
        <v>0</v>
      </c>
      <c r="V168" s="296">
        <v>4836</v>
      </c>
      <c r="W168" s="262" t="s">
        <v>2004</v>
      </c>
      <c r="Y168" s="259"/>
      <c r="Z168" s="259">
        <v>1</v>
      </c>
      <c r="AA168" s="259"/>
      <c r="AB168" s="259"/>
    </row>
    <row r="169" spans="1:28" s="268" customFormat="1" ht="43.5" customHeight="1">
      <c r="A169" s="260">
        <v>9</v>
      </c>
      <c r="B169" s="273" t="s">
        <v>488</v>
      </c>
      <c r="C169" s="262" t="s">
        <v>39</v>
      </c>
      <c r="D169" s="260" t="s">
        <v>229</v>
      </c>
      <c r="E169" s="274">
        <v>2023</v>
      </c>
      <c r="F169" s="274">
        <v>2025</v>
      </c>
      <c r="G169" s="260" t="s">
        <v>720</v>
      </c>
      <c r="H169" s="275" t="s">
        <v>721</v>
      </c>
      <c r="I169" s="276">
        <v>28000</v>
      </c>
      <c r="J169" s="276">
        <v>28000</v>
      </c>
      <c r="K169" s="276"/>
      <c r="L169" s="276"/>
      <c r="M169" s="276">
        <v>28000</v>
      </c>
      <c r="N169" s="276">
        <f t="shared" si="44"/>
        <v>28000</v>
      </c>
      <c r="O169" s="276"/>
      <c r="P169" s="276">
        <v>200</v>
      </c>
      <c r="Q169" s="276">
        <v>5919</v>
      </c>
      <c r="R169" s="276">
        <v>10000</v>
      </c>
      <c r="S169" s="296">
        <v>11881</v>
      </c>
      <c r="T169" s="276">
        <f t="shared" si="50"/>
        <v>0</v>
      </c>
      <c r="U169" s="276">
        <f t="shared" si="51"/>
        <v>0</v>
      </c>
      <c r="V169" s="296">
        <v>28000</v>
      </c>
      <c r="W169" s="259"/>
      <c r="Y169" s="259"/>
      <c r="Z169" s="259">
        <v>1</v>
      </c>
      <c r="AA169" s="259"/>
      <c r="AB169" s="259"/>
    </row>
    <row r="170" spans="1:28" s="268" customFormat="1" ht="39.75" customHeight="1">
      <c r="A170" s="271" t="s">
        <v>350</v>
      </c>
      <c r="B170" s="272" t="s">
        <v>99</v>
      </c>
      <c r="C170" s="277"/>
      <c r="D170" s="261"/>
      <c r="E170" s="278"/>
      <c r="F170" s="278"/>
      <c r="G170" s="261"/>
      <c r="H170" s="263"/>
      <c r="I170" s="264">
        <f>I171</f>
        <v>8000</v>
      </c>
      <c r="J170" s="264">
        <f t="shared" ref="J170:V170" si="55">J171</f>
        <v>8000</v>
      </c>
      <c r="K170" s="264">
        <f t="shared" si="55"/>
        <v>0</v>
      </c>
      <c r="L170" s="264">
        <f t="shared" si="55"/>
        <v>0</v>
      </c>
      <c r="M170" s="264">
        <f t="shared" si="55"/>
        <v>500</v>
      </c>
      <c r="N170" s="264">
        <f t="shared" si="55"/>
        <v>500</v>
      </c>
      <c r="O170" s="264">
        <f t="shared" si="55"/>
        <v>0</v>
      </c>
      <c r="P170" s="264">
        <f t="shared" si="55"/>
        <v>0</v>
      </c>
      <c r="Q170" s="264">
        <f t="shared" si="55"/>
        <v>0</v>
      </c>
      <c r="R170" s="264">
        <f t="shared" si="55"/>
        <v>0</v>
      </c>
      <c r="S170" s="264">
        <f t="shared" si="55"/>
        <v>500</v>
      </c>
      <c r="T170" s="264">
        <f t="shared" si="55"/>
        <v>0</v>
      </c>
      <c r="U170" s="264">
        <f t="shared" si="55"/>
        <v>0</v>
      </c>
      <c r="V170" s="264">
        <f t="shared" si="55"/>
        <v>500</v>
      </c>
      <c r="W170" s="267"/>
      <c r="Y170" s="267"/>
      <c r="Z170" s="267"/>
      <c r="AA170" s="267"/>
      <c r="AB170" s="267"/>
    </row>
    <row r="171" spans="1:28" s="268" customFormat="1" ht="28.5" customHeight="1">
      <c r="A171" s="260">
        <v>1</v>
      </c>
      <c r="B171" s="273" t="s">
        <v>2000</v>
      </c>
      <c r="C171" s="262" t="s">
        <v>39</v>
      </c>
      <c r="D171" s="260"/>
      <c r="E171" s="274"/>
      <c r="F171" s="274"/>
      <c r="G171" s="260"/>
      <c r="H171" s="275"/>
      <c r="I171" s="276">
        <v>8000</v>
      </c>
      <c r="J171" s="276">
        <v>8000</v>
      </c>
      <c r="K171" s="276"/>
      <c r="L171" s="276"/>
      <c r="M171" s="276">
        <v>500</v>
      </c>
      <c r="N171" s="276">
        <f t="shared" si="44"/>
        <v>500</v>
      </c>
      <c r="O171" s="276"/>
      <c r="P171" s="276"/>
      <c r="Q171" s="276"/>
      <c r="R171" s="276"/>
      <c r="S171" s="296">
        <v>500</v>
      </c>
      <c r="T171" s="276">
        <f t="shared" si="50"/>
        <v>0</v>
      </c>
      <c r="U171" s="276">
        <f t="shared" si="51"/>
        <v>0</v>
      </c>
      <c r="V171" s="296">
        <v>500</v>
      </c>
      <c r="W171" s="259"/>
      <c r="Y171" s="259"/>
      <c r="Z171" s="259"/>
      <c r="AA171" s="259"/>
      <c r="AB171" s="259">
        <v>1</v>
      </c>
    </row>
    <row r="172" spans="1:28" s="268" customFormat="1" ht="21.75" customHeight="1">
      <c r="A172" s="261" t="s">
        <v>489</v>
      </c>
      <c r="B172" s="290" t="s">
        <v>490</v>
      </c>
      <c r="C172" s="262"/>
      <c r="D172" s="261"/>
      <c r="E172" s="274"/>
      <c r="F172" s="274"/>
      <c r="G172" s="261"/>
      <c r="H172" s="263"/>
      <c r="I172" s="264">
        <f>I173+I176</f>
        <v>268780</v>
      </c>
      <c r="J172" s="264">
        <f t="shared" ref="J172:M172" si="56">J173+J176</f>
        <v>78119</v>
      </c>
      <c r="K172" s="264">
        <f t="shared" si="56"/>
        <v>196489</v>
      </c>
      <c r="L172" s="264">
        <f t="shared" si="56"/>
        <v>24531</v>
      </c>
      <c r="M172" s="264">
        <f t="shared" si="56"/>
        <v>53378</v>
      </c>
      <c r="N172" s="264">
        <f t="shared" ref="N172:V172" si="57">N173+N176</f>
        <v>52364</v>
      </c>
      <c r="O172" s="264">
        <f t="shared" si="57"/>
        <v>5200</v>
      </c>
      <c r="P172" s="264">
        <f t="shared" si="57"/>
        <v>14578</v>
      </c>
      <c r="Q172" s="264">
        <f t="shared" si="57"/>
        <v>20000</v>
      </c>
      <c r="R172" s="264">
        <f t="shared" si="57"/>
        <v>12586</v>
      </c>
      <c r="S172" s="264">
        <f t="shared" si="57"/>
        <v>0</v>
      </c>
      <c r="T172" s="264">
        <f t="shared" si="57"/>
        <v>0</v>
      </c>
      <c r="U172" s="264">
        <f t="shared" si="57"/>
        <v>1014</v>
      </c>
      <c r="V172" s="264">
        <f t="shared" si="57"/>
        <v>52364</v>
      </c>
      <c r="W172" s="259"/>
      <c r="Y172" s="259"/>
      <c r="Z172" s="259"/>
      <c r="AA172" s="259"/>
      <c r="AB172" s="259"/>
    </row>
    <row r="173" spans="1:28" s="268" customFormat="1" ht="45" customHeight="1">
      <c r="A173" s="271" t="s">
        <v>408</v>
      </c>
      <c r="B173" s="272" t="s">
        <v>35</v>
      </c>
      <c r="C173" s="262"/>
      <c r="D173" s="261"/>
      <c r="E173" s="274"/>
      <c r="F173" s="274"/>
      <c r="G173" s="261"/>
      <c r="H173" s="263"/>
      <c r="I173" s="264">
        <f>SUM(I174:I175)</f>
        <v>234780</v>
      </c>
      <c r="J173" s="264">
        <f t="shared" ref="J173:M173" si="58">SUM(J174:J175)</f>
        <v>44119</v>
      </c>
      <c r="K173" s="264">
        <f t="shared" si="58"/>
        <v>196489</v>
      </c>
      <c r="L173" s="264">
        <f t="shared" si="58"/>
        <v>24531</v>
      </c>
      <c r="M173" s="264">
        <f t="shared" si="58"/>
        <v>19378</v>
      </c>
      <c r="N173" s="264">
        <f t="shared" ref="N173:V173" si="59">SUM(N174:N175)</f>
        <v>19378</v>
      </c>
      <c r="O173" s="264">
        <f t="shared" si="59"/>
        <v>4800</v>
      </c>
      <c r="P173" s="264">
        <f t="shared" si="59"/>
        <v>14578</v>
      </c>
      <c r="Q173" s="264">
        <f t="shared" si="59"/>
        <v>0</v>
      </c>
      <c r="R173" s="264">
        <f t="shared" si="59"/>
        <v>0</v>
      </c>
      <c r="S173" s="264">
        <f t="shared" si="59"/>
        <v>0</v>
      </c>
      <c r="T173" s="264">
        <f t="shared" si="59"/>
        <v>0</v>
      </c>
      <c r="U173" s="264">
        <f t="shared" si="59"/>
        <v>0</v>
      </c>
      <c r="V173" s="264">
        <f t="shared" si="59"/>
        <v>19378</v>
      </c>
      <c r="W173" s="259"/>
      <c r="Y173" s="259"/>
      <c r="Z173" s="259"/>
      <c r="AA173" s="259"/>
      <c r="AB173" s="259"/>
    </row>
    <row r="174" spans="1:28" s="268" customFormat="1" ht="67.5" customHeight="1">
      <c r="A174" s="260">
        <v>1</v>
      </c>
      <c r="B174" s="273" t="s">
        <v>491</v>
      </c>
      <c r="C174" s="262" t="s">
        <v>39</v>
      </c>
      <c r="D174" s="260" t="s">
        <v>229</v>
      </c>
      <c r="E174" s="274">
        <v>2019</v>
      </c>
      <c r="F174" s="274">
        <v>2021</v>
      </c>
      <c r="G174" s="260"/>
      <c r="H174" s="275" t="s">
        <v>722</v>
      </c>
      <c r="I174" s="276">
        <v>14100</v>
      </c>
      <c r="J174" s="276">
        <v>5000</v>
      </c>
      <c r="K174" s="276">
        <v>3100</v>
      </c>
      <c r="L174" s="276">
        <v>3100</v>
      </c>
      <c r="M174" s="276">
        <v>1800</v>
      </c>
      <c r="N174" s="276">
        <f t="shared" si="44"/>
        <v>1800</v>
      </c>
      <c r="O174" s="276">
        <v>1800</v>
      </c>
      <c r="P174" s="276"/>
      <c r="Q174" s="276"/>
      <c r="R174" s="276"/>
      <c r="S174" s="296"/>
      <c r="T174" s="276">
        <f t="shared" si="50"/>
        <v>0</v>
      </c>
      <c r="U174" s="276">
        <f t="shared" si="51"/>
        <v>0</v>
      </c>
      <c r="V174" s="296">
        <v>1800</v>
      </c>
      <c r="W174" s="259"/>
      <c r="Y174" s="259">
        <v>1</v>
      </c>
      <c r="Z174" s="259"/>
      <c r="AA174" s="259"/>
      <c r="AB174" s="259"/>
    </row>
    <row r="175" spans="1:28" s="268" customFormat="1" ht="67.5" customHeight="1">
      <c r="A175" s="260">
        <v>2</v>
      </c>
      <c r="B175" s="273" t="s">
        <v>492</v>
      </c>
      <c r="C175" s="262" t="s">
        <v>38</v>
      </c>
      <c r="D175" s="260" t="s">
        <v>231</v>
      </c>
      <c r="E175" s="274" t="s">
        <v>232</v>
      </c>
      <c r="F175" s="274">
        <v>2021</v>
      </c>
      <c r="G175" s="260" t="s">
        <v>255</v>
      </c>
      <c r="H175" s="275" t="s">
        <v>300</v>
      </c>
      <c r="I175" s="276">
        <v>220680</v>
      </c>
      <c r="J175" s="276">
        <f>I175-181561</f>
        <v>39119</v>
      </c>
      <c r="K175" s="276">
        <v>193389</v>
      </c>
      <c r="L175" s="276">
        <v>21431</v>
      </c>
      <c r="M175" s="276">
        <v>17578</v>
      </c>
      <c r="N175" s="276">
        <f t="shared" si="44"/>
        <v>17578</v>
      </c>
      <c r="O175" s="276">
        <v>3000</v>
      </c>
      <c r="P175" s="276">
        <v>14578</v>
      </c>
      <c r="Q175" s="276"/>
      <c r="R175" s="276"/>
      <c r="S175" s="296"/>
      <c r="T175" s="276">
        <f t="shared" si="50"/>
        <v>0</v>
      </c>
      <c r="U175" s="276">
        <f t="shared" si="51"/>
        <v>0</v>
      </c>
      <c r="V175" s="296">
        <v>17578</v>
      </c>
      <c r="W175" s="259"/>
      <c r="Y175" s="259">
        <v>1</v>
      </c>
      <c r="Z175" s="259"/>
      <c r="AA175" s="259"/>
      <c r="AB175" s="259"/>
    </row>
    <row r="176" spans="1:28" s="268" customFormat="1" ht="43.9" customHeight="1">
      <c r="A176" s="271" t="s">
        <v>412</v>
      </c>
      <c r="B176" s="272" t="s">
        <v>36</v>
      </c>
      <c r="C176" s="262"/>
      <c r="D176" s="261"/>
      <c r="E176" s="274"/>
      <c r="F176" s="274"/>
      <c r="G176" s="261"/>
      <c r="H176" s="263"/>
      <c r="I176" s="264">
        <f>I177</f>
        <v>34000</v>
      </c>
      <c r="J176" s="264">
        <f t="shared" ref="J176:V176" si="60">J177</f>
        <v>34000</v>
      </c>
      <c r="K176" s="264">
        <f t="shared" si="60"/>
        <v>0</v>
      </c>
      <c r="L176" s="264">
        <f t="shared" si="60"/>
        <v>0</v>
      </c>
      <c r="M176" s="264">
        <f t="shared" si="60"/>
        <v>34000</v>
      </c>
      <c r="N176" s="264">
        <f t="shared" si="60"/>
        <v>32986</v>
      </c>
      <c r="O176" s="264">
        <f t="shared" si="60"/>
        <v>400</v>
      </c>
      <c r="P176" s="264">
        <f t="shared" si="60"/>
        <v>0</v>
      </c>
      <c r="Q176" s="264">
        <f t="shared" si="60"/>
        <v>20000</v>
      </c>
      <c r="R176" s="264">
        <f t="shared" si="60"/>
        <v>12586</v>
      </c>
      <c r="S176" s="264">
        <f t="shared" si="60"/>
        <v>0</v>
      </c>
      <c r="T176" s="264">
        <f t="shared" si="60"/>
        <v>0</v>
      </c>
      <c r="U176" s="264">
        <f t="shared" si="60"/>
        <v>1014</v>
      </c>
      <c r="V176" s="264">
        <f t="shared" si="60"/>
        <v>32986</v>
      </c>
      <c r="W176" s="259"/>
      <c r="Y176" s="259"/>
      <c r="Z176" s="259"/>
      <c r="AA176" s="259"/>
      <c r="AB176" s="259"/>
    </row>
    <row r="177" spans="1:28" s="288" customFormat="1" ht="43.9" customHeight="1">
      <c r="A177" s="279" t="s">
        <v>96</v>
      </c>
      <c r="B177" s="280" t="s">
        <v>123</v>
      </c>
      <c r="C177" s="306"/>
      <c r="D177" s="282"/>
      <c r="E177" s="307"/>
      <c r="F177" s="307"/>
      <c r="G177" s="282"/>
      <c r="H177" s="284"/>
      <c r="I177" s="285">
        <f>SUM(I178:I179)</f>
        <v>34000</v>
      </c>
      <c r="J177" s="285">
        <f t="shared" ref="J177:M177" si="61">SUM(J178:J179)</f>
        <v>34000</v>
      </c>
      <c r="K177" s="285">
        <f t="shared" si="61"/>
        <v>0</v>
      </c>
      <c r="L177" s="285">
        <f t="shared" si="61"/>
        <v>0</v>
      </c>
      <c r="M177" s="285">
        <f t="shared" si="61"/>
        <v>34000</v>
      </c>
      <c r="N177" s="285">
        <f t="shared" ref="N177:V177" si="62">SUM(N178:N179)</f>
        <v>32986</v>
      </c>
      <c r="O177" s="285">
        <f t="shared" si="62"/>
        <v>400</v>
      </c>
      <c r="P177" s="285">
        <f t="shared" si="62"/>
        <v>0</v>
      </c>
      <c r="Q177" s="285">
        <f t="shared" si="62"/>
        <v>20000</v>
      </c>
      <c r="R177" s="285">
        <f t="shared" si="62"/>
        <v>12586</v>
      </c>
      <c r="S177" s="285">
        <f t="shared" si="62"/>
        <v>0</v>
      </c>
      <c r="T177" s="285">
        <f t="shared" si="62"/>
        <v>0</v>
      </c>
      <c r="U177" s="285">
        <f t="shared" si="62"/>
        <v>1014</v>
      </c>
      <c r="V177" s="285">
        <f t="shared" si="62"/>
        <v>32986</v>
      </c>
      <c r="W177" s="308"/>
      <c r="Y177" s="308"/>
      <c r="Z177" s="308"/>
      <c r="AA177" s="308"/>
      <c r="AB177" s="308"/>
    </row>
    <row r="178" spans="1:28" s="268" customFormat="1" ht="75.75" customHeight="1">
      <c r="A178" s="304" t="s">
        <v>144</v>
      </c>
      <c r="B178" s="273" t="s">
        <v>493</v>
      </c>
      <c r="C178" s="262" t="s">
        <v>39</v>
      </c>
      <c r="D178" s="260" t="s">
        <v>231</v>
      </c>
      <c r="E178" s="274">
        <v>2023</v>
      </c>
      <c r="F178" s="274">
        <v>2024</v>
      </c>
      <c r="G178" s="260"/>
      <c r="H178" s="275" t="s">
        <v>723</v>
      </c>
      <c r="I178" s="276">
        <v>20000</v>
      </c>
      <c r="J178" s="276">
        <v>20000</v>
      </c>
      <c r="K178" s="276"/>
      <c r="L178" s="276"/>
      <c r="M178" s="276">
        <v>20000</v>
      </c>
      <c r="N178" s="276">
        <f t="shared" si="44"/>
        <v>18986</v>
      </c>
      <c r="O178" s="276">
        <v>400</v>
      </c>
      <c r="P178" s="276"/>
      <c r="Q178" s="276">
        <v>10000</v>
      </c>
      <c r="R178" s="276">
        <v>8586</v>
      </c>
      <c r="S178" s="296"/>
      <c r="T178" s="276">
        <f t="shared" si="50"/>
        <v>0</v>
      </c>
      <c r="U178" s="276">
        <f t="shared" si="51"/>
        <v>1014</v>
      </c>
      <c r="V178" s="296">
        <v>18986</v>
      </c>
      <c r="W178" s="259"/>
      <c r="Y178" s="259"/>
      <c r="Z178" s="259">
        <v>1</v>
      </c>
      <c r="AA178" s="259"/>
      <c r="AB178" s="259"/>
    </row>
    <row r="179" spans="1:28" s="268" customFormat="1" ht="75.75" customHeight="1">
      <c r="A179" s="304" t="s">
        <v>547</v>
      </c>
      <c r="B179" s="273" t="s">
        <v>494</v>
      </c>
      <c r="C179" s="262" t="s">
        <v>39</v>
      </c>
      <c r="D179" s="260" t="s">
        <v>231</v>
      </c>
      <c r="E179" s="274">
        <v>2023</v>
      </c>
      <c r="F179" s="274">
        <v>2024</v>
      </c>
      <c r="G179" s="260"/>
      <c r="H179" s="275" t="s">
        <v>724</v>
      </c>
      <c r="I179" s="276">
        <v>14000</v>
      </c>
      <c r="J179" s="276">
        <v>14000</v>
      </c>
      <c r="K179" s="276"/>
      <c r="L179" s="276"/>
      <c r="M179" s="276">
        <v>14000</v>
      </c>
      <c r="N179" s="276">
        <f t="shared" si="44"/>
        <v>14000</v>
      </c>
      <c r="O179" s="276"/>
      <c r="P179" s="276"/>
      <c r="Q179" s="276">
        <v>10000</v>
      </c>
      <c r="R179" s="276">
        <v>4000</v>
      </c>
      <c r="S179" s="296"/>
      <c r="T179" s="276">
        <f t="shared" si="50"/>
        <v>0</v>
      </c>
      <c r="U179" s="276">
        <f t="shared" si="51"/>
        <v>0</v>
      </c>
      <c r="V179" s="296">
        <v>14000</v>
      </c>
      <c r="W179" s="259"/>
      <c r="Y179" s="259"/>
      <c r="Z179" s="259">
        <v>1</v>
      </c>
      <c r="AA179" s="259"/>
      <c r="AB179" s="259"/>
    </row>
    <row r="180" spans="1:28" s="268" customFormat="1" ht="44.25" customHeight="1">
      <c r="A180" s="261" t="s">
        <v>495</v>
      </c>
      <c r="B180" s="290" t="s">
        <v>496</v>
      </c>
      <c r="C180" s="262"/>
      <c r="D180" s="261"/>
      <c r="E180" s="274"/>
      <c r="F180" s="274"/>
      <c r="G180" s="261"/>
      <c r="H180" s="263"/>
      <c r="I180" s="264">
        <f t="shared" ref="I180:V181" si="63">I181</f>
        <v>18500</v>
      </c>
      <c r="J180" s="264">
        <f t="shared" si="63"/>
        <v>11600</v>
      </c>
      <c r="K180" s="264">
        <f t="shared" si="63"/>
        <v>0</v>
      </c>
      <c r="L180" s="264">
        <f t="shared" si="63"/>
        <v>0</v>
      </c>
      <c r="M180" s="264">
        <f t="shared" si="63"/>
        <v>10879</v>
      </c>
      <c r="N180" s="264">
        <f t="shared" si="63"/>
        <v>10948</v>
      </c>
      <c r="O180" s="264">
        <f t="shared" si="63"/>
        <v>0</v>
      </c>
      <c r="P180" s="264">
        <f t="shared" si="63"/>
        <v>9200</v>
      </c>
      <c r="Q180" s="264">
        <f t="shared" si="63"/>
        <v>779</v>
      </c>
      <c r="R180" s="264">
        <f t="shared" si="63"/>
        <v>895</v>
      </c>
      <c r="S180" s="264">
        <f t="shared" si="63"/>
        <v>74</v>
      </c>
      <c r="T180" s="264">
        <f t="shared" si="63"/>
        <v>69</v>
      </c>
      <c r="U180" s="264">
        <f t="shared" si="63"/>
        <v>0</v>
      </c>
      <c r="V180" s="264">
        <f t="shared" si="63"/>
        <v>10948</v>
      </c>
      <c r="W180" s="259"/>
      <c r="Y180" s="259"/>
      <c r="Z180" s="259"/>
      <c r="AA180" s="259"/>
      <c r="AB180" s="259"/>
    </row>
    <row r="181" spans="1:28" s="268" customFormat="1" ht="42.4" customHeight="1">
      <c r="A181" s="271" t="s">
        <v>408</v>
      </c>
      <c r="B181" s="272" t="s">
        <v>36</v>
      </c>
      <c r="C181" s="262"/>
      <c r="D181" s="261"/>
      <c r="E181" s="274"/>
      <c r="F181" s="274"/>
      <c r="G181" s="261"/>
      <c r="H181" s="263"/>
      <c r="I181" s="264">
        <f>I182</f>
        <v>18500</v>
      </c>
      <c r="J181" s="264">
        <f t="shared" si="63"/>
        <v>11600</v>
      </c>
      <c r="K181" s="264">
        <f t="shared" si="63"/>
        <v>0</v>
      </c>
      <c r="L181" s="264">
        <f t="shared" si="63"/>
        <v>0</v>
      </c>
      <c r="M181" s="264">
        <f t="shared" si="63"/>
        <v>10879</v>
      </c>
      <c r="N181" s="264">
        <f t="shared" ref="N181:V181" si="64">N182</f>
        <v>10948</v>
      </c>
      <c r="O181" s="264">
        <f t="shared" si="64"/>
        <v>0</v>
      </c>
      <c r="P181" s="264">
        <f t="shared" si="64"/>
        <v>9200</v>
      </c>
      <c r="Q181" s="264">
        <f t="shared" si="64"/>
        <v>779</v>
      </c>
      <c r="R181" s="264">
        <f t="shared" si="64"/>
        <v>895</v>
      </c>
      <c r="S181" s="264">
        <f t="shared" si="64"/>
        <v>74</v>
      </c>
      <c r="T181" s="264">
        <f t="shared" si="64"/>
        <v>69</v>
      </c>
      <c r="U181" s="264">
        <f t="shared" si="64"/>
        <v>0</v>
      </c>
      <c r="V181" s="264">
        <f t="shared" si="64"/>
        <v>10948</v>
      </c>
      <c r="W181" s="259"/>
      <c r="Y181" s="259"/>
      <c r="Z181" s="259"/>
      <c r="AA181" s="259"/>
      <c r="AB181" s="259"/>
    </row>
    <row r="182" spans="1:28" s="288" customFormat="1" ht="44.25" customHeight="1">
      <c r="A182" s="279" t="s">
        <v>96</v>
      </c>
      <c r="B182" s="280" t="s">
        <v>123</v>
      </c>
      <c r="C182" s="306"/>
      <c r="D182" s="282"/>
      <c r="E182" s="307"/>
      <c r="F182" s="307"/>
      <c r="G182" s="282"/>
      <c r="H182" s="284"/>
      <c r="I182" s="285">
        <f>SUM(I183:I184)</f>
        <v>18500</v>
      </c>
      <c r="J182" s="285">
        <f t="shared" ref="J182:M182" si="65">SUM(J183:J184)</f>
        <v>11600</v>
      </c>
      <c r="K182" s="285">
        <f t="shared" si="65"/>
        <v>0</v>
      </c>
      <c r="L182" s="285">
        <f t="shared" si="65"/>
        <v>0</v>
      </c>
      <c r="M182" s="285">
        <f t="shared" si="65"/>
        <v>10879</v>
      </c>
      <c r="N182" s="285">
        <f t="shared" ref="N182:V182" si="66">SUM(N183:N184)</f>
        <v>10948</v>
      </c>
      <c r="O182" s="285">
        <f t="shared" si="66"/>
        <v>0</v>
      </c>
      <c r="P182" s="285">
        <f t="shared" si="66"/>
        <v>9200</v>
      </c>
      <c r="Q182" s="285">
        <f t="shared" si="66"/>
        <v>779</v>
      </c>
      <c r="R182" s="285">
        <f t="shared" si="66"/>
        <v>895</v>
      </c>
      <c r="S182" s="285">
        <f t="shared" si="66"/>
        <v>74</v>
      </c>
      <c r="T182" s="285">
        <f t="shared" si="66"/>
        <v>69</v>
      </c>
      <c r="U182" s="285">
        <f t="shared" si="66"/>
        <v>0</v>
      </c>
      <c r="V182" s="285">
        <f t="shared" si="66"/>
        <v>10948</v>
      </c>
      <c r="W182" s="308"/>
      <c r="Y182" s="308"/>
      <c r="Z182" s="308"/>
      <c r="AA182" s="308"/>
      <c r="AB182" s="308"/>
    </row>
    <row r="183" spans="1:28" s="268" customFormat="1" ht="57.75" customHeight="1">
      <c r="A183" s="260">
        <v>1</v>
      </c>
      <c r="B183" s="273" t="s">
        <v>497</v>
      </c>
      <c r="C183" s="262" t="s">
        <v>39</v>
      </c>
      <c r="D183" s="260"/>
      <c r="E183" s="274">
        <v>2023</v>
      </c>
      <c r="F183" s="274">
        <v>2024</v>
      </c>
      <c r="G183" s="260"/>
      <c r="H183" s="275" t="s">
        <v>725</v>
      </c>
      <c r="I183" s="276">
        <v>1600</v>
      </c>
      <c r="J183" s="276">
        <v>1600</v>
      </c>
      <c r="K183" s="276"/>
      <c r="L183" s="276"/>
      <c r="M183" s="276">
        <v>1600</v>
      </c>
      <c r="N183" s="276">
        <f t="shared" si="44"/>
        <v>1669</v>
      </c>
      <c r="O183" s="276"/>
      <c r="P183" s="276">
        <v>200</v>
      </c>
      <c r="Q183" s="276">
        <v>500</v>
      </c>
      <c r="R183" s="276">
        <v>895</v>
      </c>
      <c r="S183" s="296">
        <v>74</v>
      </c>
      <c r="T183" s="276">
        <f t="shared" si="50"/>
        <v>69</v>
      </c>
      <c r="U183" s="276">
        <f t="shared" si="51"/>
        <v>0</v>
      </c>
      <c r="V183" s="296">
        <v>1669</v>
      </c>
      <c r="W183" s="547" t="s">
        <v>1091</v>
      </c>
      <c r="Y183" s="259"/>
      <c r="Z183" s="259">
        <v>1</v>
      </c>
      <c r="AA183" s="259"/>
      <c r="AB183" s="259"/>
    </row>
    <row r="184" spans="1:28" s="268" customFormat="1" ht="57.75" customHeight="1">
      <c r="A184" s="260">
        <v>2</v>
      </c>
      <c r="B184" s="273" t="s">
        <v>498</v>
      </c>
      <c r="C184" s="262" t="s">
        <v>39</v>
      </c>
      <c r="D184" s="260" t="s">
        <v>231</v>
      </c>
      <c r="E184" s="274">
        <v>2022</v>
      </c>
      <c r="F184" s="274">
        <v>2023</v>
      </c>
      <c r="G184" s="260"/>
      <c r="H184" s="275" t="s">
        <v>726</v>
      </c>
      <c r="I184" s="276">
        <v>16900</v>
      </c>
      <c r="J184" s="276">
        <v>10000</v>
      </c>
      <c r="K184" s="276"/>
      <c r="L184" s="276"/>
      <c r="M184" s="276">
        <v>9279</v>
      </c>
      <c r="N184" s="276">
        <f t="shared" si="44"/>
        <v>9279</v>
      </c>
      <c r="O184" s="276"/>
      <c r="P184" s="276">
        <v>9000</v>
      </c>
      <c r="Q184" s="276">
        <v>279</v>
      </c>
      <c r="R184" s="276"/>
      <c r="S184" s="296"/>
      <c r="T184" s="276">
        <f t="shared" si="50"/>
        <v>0</v>
      </c>
      <c r="U184" s="276">
        <f t="shared" si="51"/>
        <v>0</v>
      </c>
      <c r="V184" s="296">
        <v>9279</v>
      </c>
      <c r="W184" s="259"/>
      <c r="Y184" s="259"/>
      <c r="Z184" s="259">
        <v>1</v>
      </c>
      <c r="AA184" s="259"/>
      <c r="AB184" s="259"/>
    </row>
    <row r="185" spans="1:28" s="268" customFormat="1" ht="24.4" customHeight="1">
      <c r="A185" s="261" t="s">
        <v>499</v>
      </c>
      <c r="B185" s="290" t="s">
        <v>500</v>
      </c>
      <c r="C185" s="262"/>
      <c r="D185" s="261"/>
      <c r="E185" s="274"/>
      <c r="F185" s="274"/>
      <c r="G185" s="261"/>
      <c r="H185" s="263"/>
      <c r="I185" s="264">
        <f>I186</f>
        <v>74500</v>
      </c>
      <c r="J185" s="264">
        <f t="shared" ref="J185:V186" si="67">J186</f>
        <v>39500</v>
      </c>
      <c r="K185" s="264">
        <f t="shared" si="67"/>
        <v>0</v>
      </c>
      <c r="L185" s="264">
        <f t="shared" si="67"/>
        <v>0</v>
      </c>
      <c r="M185" s="264">
        <f t="shared" si="67"/>
        <v>15000</v>
      </c>
      <c r="N185" s="264">
        <f t="shared" si="67"/>
        <v>15000</v>
      </c>
      <c r="O185" s="264">
        <f t="shared" si="67"/>
        <v>0</v>
      </c>
      <c r="P185" s="264">
        <f t="shared" si="67"/>
        <v>0</v>
      </c>
      <c r="Q185" s="264">
        <f t="shared" si="67"/>
        <v>2000</v>
      </c>
      <c r="R185" s="264">
        <f t="shared" si="67"/>
        <v>5000</v>
      </c>
      <c r="S185" s="264">
        <f t="shared" si="67"/>
        <v>8000</v>
      </c>
      <c r="T185" s="264">
        <f t="shared" si="67"/>
        <v>0</v>
      </c>
      <c r="U185" s="264">
        <f t="shared" si="67"/>
        <v>0</v>
      </c>
      <c r="V185" s="264">
        <f t="shared" si="67"/>
        <v>15000</v>
      </c>
      <c r="W185" s="259"/>
      <c r="Y185" s="259"/>
      <c r="Z185" s="259"/>
      <c r="AA185" s="259"/>
      <c r="AB185" s="259"/>
    </row>
    <row r="186" spans="1:28" s="268" customFormat="1" ht="39" customHeight="1">
      <c r="A186" s="271" t="s">
        <v>408</v>
      </c>
      <c r="B186" s="272" t="s">
        <v>36</v>
      </c>
      <c r="C186" s="262"/>
      <c r="D186" s="261"/>
      <c r="E186" s="274"/>
      <c r="F186" s="274"/>
      <c r="G186" s="261"/>
      <c r="H186" s="263"/>
      <c r="I186" s="264">
        <f>I187</f>
        <v>74500</v>
      </c>
      <c r="J186" s="264">
        <f t="shared" si="67"/>
        <v>39500</v>
      </c>
      <c r="K186" s="264">
        <f t="shared" si="67"/>
        <v>0</v>
      </c>
      <c r="L186" s="264">
        <f t="shared" si="67"/>
        <v>0</v>
      </c>
      <c r="M186" s="264">
        <f t="shared" si="67"/>
        <v>15000</v>
      </c>
      <c r="N186" s="264">
        <f t="shared" ref="N186:V186" si="68">N187</f>
        <v>15000</v>
      </c>
      <c r="O186" s="264">
        <f t="shared" si="68"/>
        <v>0</v>
      </c>
      <c r="P186" s="264">
        <f t="shared" si="68"/>
        <v>0</v>
      </c>
      <c r="Q186" s="264">
        <f t="shared" si="68"/>
        <v>2000</v>
      </c>
      <c r="R186" s="264">
        <f t="shared" si="68"/>
        <v>5000</v>
      </c>
      <c r="S186" s="264">
        <f t="shared" si="68"/>
        <v>8000</v>
      </c>
      <c r="T186" s="264">
        <f t="shared" si="68"/>
        <v>0</v>
      </c>
      <c r="U186" s="264">
        <f t="shared" si="68"/>
        <v>0</v>
      </c>
      <c r="V186" s="264">
        <f t="shared" si="68"/>
        <v>15000</v>
      </c>
      <c r="W186" s="259"/>
      <c r="Y186" s="259"/>
      <c r="Z186" s="259"/>
      <c r="AA186" s="259"/>
      <c r="AB186" s="259"/>
    </row>
    <row r="187" spans="1:28" s="288" customFormat="1" ht="39" customHeight="1">
      <c r="A187" s="279" t="s">
        <v>96</v>
      </c>
      <c r="B187" s="280" t="s">
        <v>123</v>
      </c>
      <c r="C187" s="306"/>
      <c r="D187" s="282"/>
      <c r="E187" s="307"/>
      <c r="F187" s="307"/>
      <c r="G187" s="282"/>
      <c r="H187" s="284"/>
      <c r="I187" s="285">
        <f>SUM(I188:I189)</f>
        <v>74500</v>
      </c>
      <c r="J187" s="285">
        <f t="shared" ref="J187:M187" si="69">SUM(J188:J189)</f>
        <v>39500</v>
      </c>
      <c r="K187" s="285">
        <f t="shared" si="69"/>
        <v>0</v>
      </c>
      <c r="L187" s="285">
        <f t="shared" si="69"/>
        <v>0</v>
      </c>
      <c r="M187" s="285">
        <f t="shared" si="69"/>
        <v>15000</v>
      </c>
      <c r="N187" s="285">
        <f t="shared" ref="N187:V187" si="70">SUM(N188:N189)</f>
        <v>15000</v>
      </c>
      <c r="O187" s="285">
        <f t="shared" si="70"/>
        <v>0</v>
      </c>
      <c r="P187" s="285">
        <f t="shared" si="70"/>
        <v>0</v>
      </c>
      <c r="Q187" s="285">
        <f t="shared" si="70"/>
        <v>2000</v>
      </c>
      <c r="R187" s="285">
        <f t="shared" si="70"/>
        <v>5000</v>
      </c>
      <c r="S187" s="285">
        <f t="shared" si="70"/>
        <v>8000</v>
      </c>
      <c r="T187" s="285">
        <f t="shared" si="70"/>
        <v>0</v>
      </c>
      <c r="U187" s="285">
        <f t="shared" si="70"/>
        <v>0</v>
      </c>
      <c r="V187" s="285">
        <f t="shared" si="70"/>
        <v>15000</v>
      </c>
      <c r="W187" s="308"/>
      <c r="Y187" s="308"/>
      <c r="Z187" s="308"/>
      <c r="AA187" s="308"/>
      <c r="AB187" s="308"/>
    </row>
    <row r="188" spans="1:28" s="268" customFormat="1" ht="43.5" customHeight="1">
      <c r="A188" s="260">
        <v>1</v>
      </c>
      <c r="B188" s="273" t="s">
        <v>501</v>
      </c>
      <c r="C188" s="262" t="s">
        <v>39</v>
      </c>
      <c r="D188" s="260" t="s">
        <v>625</v>
      </c>
      <c r="E188" s="274">
        <v>2023</v>
      </c>
      <c r="F188" s="274">
        <v>2025</v>
      </c>
      <c r="G188" s="260" t="s">
        <v>727</v>
      </c>
      <c r="H188" s="275" t="s">
        <v>728</v>
      </c>
      <c r="I188" s="276">
        <v>30000</v>
      </c>
      <c r="J188" s="276">
        <v>15000</v>
      </c>
      <c r="K188" s="276"/>
      <c r="L188" s="276"/>
      <c r="M188" s="276">
        <v>15000</v>
      </c>
      <c r="N188" s="276">
        <f t="shared" si="44"/>
        <v>15000</v>
      </c>
      <c r="O188" s="276"/>
      <c r="P188" s="276"/>
      <c r="Q188" s="276">
        <v>2000</v>
      </c>
      <c r="R188" s="276">
        <v>5000</v>
      </c>
      <c r="S188" s="296">
        <v>8000</v>
      </c>
      <c r="T188" s="276">
        <f t="shared" si="50"/>
        <v>0</v>
      </c>
      <c r="U188" s="276">
        <f t="shared" si="51"/>
        <v>0</v>
      </c>
      <c r="V188" s="296">
        <v>15000</v>
      </c>
      <c r="W188" s="259"/>
      <c r="Y188" s="259"/>
      <c r="Z188" s="259">
        <v>1</v>
      </c>
      <c r="AA188" s="259"/>
      <c r="AB188" s="259"/>
    </row>
    <row r="189" spans="1:28" s="268" customFormat="1" ht="43.5" customHeight="1">
      <c r="A189" s="260">
        <v>2</v>
      </c>
      <c r="B189" s="273" t="s">
        <v>502</v>
      </c>
      <c r="C189" s="262" t="s">
        <v>39</v>
      </c>
      <c r="D189" s="260" t="s">
        <v>859</v>
      </c>
      <c r="E189" s="274"/>
      <c r="F189" s="274"/>
      <c r="G189" s="260"/>
      <c r="H189" s="275" t="s">
        <v>979</v>
      </c>
      <c r="I189" s="276">
        <v>44500</v>
      </c>
      <c r="J189" s="276">
        <v>24500</v>
      </c>
      <c r="K189" s="276"/>
      <c r="L189" s="276"/>
      <c r="M189" s="276">
        <v>0</v>
      </c>
      <c r="N189" s="276">
        <f t="shared" si="44"/>
        <v>0</v>
      </c>
      <c r="O189" s="276"/>
      <c r="P189" s="276"/>
      <c r="Q189" s="276"/>
      <c r="R189" s="276">
        <v>0</v>
      </c>
      <c r="S189" s="296"/>
      <c r="T189" s="276">
        <f t="shared" si="50"/>
        <v>0</v>
      </c>
      <c r="U189" s="276">
        <f t="shared" si="51"/>
        <v>0</v>
      </c>
      <c r="V189" s="296">
        <v>0</v>
      </c>
      <c r="W189" s="259"/>
      <c r="Y189" s="259"/>
      <c r="Z189" s="259">
        <v>1</v>
      </c>
      <c r="AA189" s="259"/>
      <c r="AB189" s="259"/>
    </row>
    <row r="190" spans="1:28" s="268" customFormat="1" ht="36.4" customHeight="1">
      <c r="A190" s="261" t="s">
        <v>503</v>
      </c>
      <c r="B190" s="290" t="s">
        <v>504</v>
      </c>
      <c r="C190" s="262"/>
      <c r="D190" s="261"/>
      <c r="E190" s="274"/>
      <c r="F190" s="274"/>
      <c r="G190" s="261"/>
      <c r="H190" s="263"/>
      <c r="I190" s="264">
        <f>I191</f>
        <v>1539780</v>
      </c>
      <c r="J190" s="264">
        <f t="shared" ref="J190:V190" si="71">J191</f>
        <v>371118</v>
      </c>
      <c r="K190" s="264">
        <f t="shared" si="71"/>
        <v>0</v>
      </c>
      <c r="L190" s="264">
        <f t="shared" si="71"/>
        <v>0</v>
      </c>
      <c r="M190" s="264">
        <f t="shared" si="71"/>
        <v>2905</v>
      </c>
      <c r="N190" s="264">
        <f t="shared" si="71"/>
        <v>2905</v>
      </c>
      <c r="O190" s="264">
        <f t="shared" si="71"/>
        <v>0</v>
      </c>
      <c r="P190" s="264">
        <f t="shared" si="71"/>
        <v>200</v>
      </c>
      <c r="Q190" s="264">
        <f t="shared" si="71"/>
        <v>0</v>
      </c>
      <c r="R190" s="264">
        <f t="shared" si="71"/>
        <v>0</v>
      </c>
      <c r="S190" s="264">
        <f t="shared" si="71"/>
        <v>2705</v>
      </c>
      <c r="T190" s="264">
        <f t="shared" si="71"/>
        <v>0</v>
      </c>
      <c r="U190" s="264">
        <f t="shared" si="71"/>
        <v>0</v>
      </c>
      <c r="V190" s="264">
        <f t="shared" si="71"/>
        <v>2905</v>
      </c>
      <c r="W190" s="259"/>
      <c r="Y190" s="259"/>
      <c r="Z190" s="259"/>
      <c r="AA190" s="259"/>
      <c r="AB190" s="259"/>
    </row>
    <row r="191" spans="1:28" s="268" customFormat="1" ht="36.4" customHeight="1">
      <c r="A191" s="271" t="s">
        <v>408</v>
      </c>
      <c r="B191" s="272" t="s">
        <v>99</v>
      </c>
      <c r="C191" s="262"/>
      <c r="D191" s="261"/>
      <c r="E191" s="274"/>
      <c r="F191" s="274"/>
      <c r="G191" s="261"/>
      <c r="H191" s="263"/>
      <c r="I191" s="264">
        <f>SUM(I192:I194)</f>
        <v>1539780</v>
      </c>
      <c r="J191" s="264">
        <f t="shared" ref="J191:M191" si="72">SUM(J192:J194)</f>
        <v>371118</v>
      </c>
      <c r="K191" s="264">
        <f t="shared" si="72"/>
        <v>0</v>
      </c>
      <c r="L191" s="264">
        <f t="shared" si="72"/>
        <v>0</v>
      </c>
      <c r="M191" s="264">
        <f t="shared" si="72"/>
        <v>2905</v>
      </c>
      <c r="N191" s="264">
        <f t="shared" ref="N191:V191" si="73">SUM(N192:N194)</f>
        <v>2905</v>
      </c>
      <c r="O191" s="264">
        <f t="shared" si="73"/>
        <v>0</v>
      </c>
      <c r="P191" s="264">
        <f t="shared" si="73"/>
        <v>200</v>
      </c>
      <c r="Q191" s="264">
        <f t="shared" si="73"/>
        <v>0</v>
      </c>
      <c r="R191" s="264">
        <f t="shared" si="73"/>
        <v>0</v>
      </c>
      <c r="S191" s="264">
        <f t="shared" si="73"/>
        <v>2705</v>
      </c>
      <c r="T191" s="264">
        <f t="shared" si="73"/>
        <v>0</v>
      </c>
      <c r="U191" s="264">
        <f t="shared" si="73"/>
        <v>0</v>
      </c>
      <c r="V191" s="264">
        <f t="shared" si="73"/>
        <v>2905</v>
      </c>
      <c r="W191" s="259"/>
      <c r="Y191" s="259"/>
      <c r="Z191" s="259"/>
      <c r="AA191" s="259"/>
      <c r="AB191" s="259"/>
    </row>
    <row r="192" spans="1:28" s="268" customFormat="1" ht="43.9" customHeight="1">
      <c r="A192" s="260">
        <v>1</v>
      </c>
      <c r="B192" s="273" t="s">
        <v>505</v>
      </c>
      <c r="C192" s="262" t="s">
        <v>39</v>
      </c>
      <c r="D192" s="260"/>
      <c r="E192" s="274"/>
      <c r="F192" s="274"/>
      <c r="G192" s="260"/>
      <c r="H192" s="275"/>
      <c r="I192" s="276">
        <v>19382</v>
      </c>
      <c r="J192" s="276">
        <v>10000</v>
      </c>
      <c r="K192" s="276"/>
      <c r="L192" s="276"/>
      <c r="M192" s="276">
        <v>0</v>
      </c>
      <c r="N192" s="276">
        <f t="shared" si="44"/>
        <v>0</v>
      </c>
      <c r="O192" s="276"/>
      <c r="P192" s="276"/>
      <c r="Q192" s="276"/>
      <c r="R192" s="276"/>
      <c r="S192" s="296"/>
      <c r="T192" s="276">
        <f t="shared" si="50"/>
        <v>0</v>
      </c>
      <c r="U192" s="276">
        <f t="shared" si="51"/>
        <v>0</v>
      </c>
      <c r="V192" s="296">
        <v>0</v>
      </c>
      <c r="W192" s="259"/>
      <c r="Y192" s="259"/>
      <c r="Z192" s="259"/>
      <c r="AA192" s="259"/>
      <c r="AB192" s="259">
        <v>1</v>
      </c>
    </row>
    <row r="193" spans="1:29" s="268" customFormat="1" ht="43.9" customHeight="1">
      <c r="A193" s="260">
        <v>2</v>
      </c>
      <c r="B193" s="273" t="s">
        <v>517</v>
      </c>
      <c r="C193" s="262"/>
      <c r="D193" s="260"/>
      <c r="E193" s="274"/>
      <c r="F193" s="274"/>
      <c r="G193" s="260"/>
      <c r="H193" s="275" t="s">
        <v>740</v>
      </c>
      <c r="I193" s="276">
        <v>1480000</v>
      </c>
      <c r="J193" s="276">
        <v>340720</v>
      </c>
      <c r="K193" s="276"/>
      <c r="L193" s="276"/>
      <c r="M193" s="276">
        <v>2705</v>
      </c>
      <c r="N193" s="276">
        <f t="shared" si="44"/>
        <v>2705</v>
      </c>
      <c r="O193" s="276"/>
      <c r="P193" s="276"/>
      <c r="Q193" s="276"/>
      <c r="R193" s="276"/>
      <c r="S193" s="296">
        <v>2705</v>
      </c>
      <c r="T193" s="276">
        <f t="shared" si="50"/>
        <v>0</v>
      </c>
      <c r="U193" s="276">
        <f t="shared" si="51"/>
        <v>0</v>
      </c>
      <c r="V193" s="296">
        <v>2705</v>
      </c>
      <c r="W193" s="259"/>
      <c r="Y193" s="259"/>
      <c r="Z193" s="259"/>
      <c r="AA193" s="259"/>
      <c r="AB193" s="259"/>
    </row>
    <row r="194" spans="1:29" s="268" customFormat="1" ht="87" customHeight="1">
      <c r="A194" s="260">
        <v>3</v>
      </c>
      <c r="B194" s="273" t="s">
        <v>506</v>
      </c>
      <c r="C194" s="262" t="s">
        <v>39</v>
      </c>
      <c r="D194" s="260"/>
      <c r="E194" s="274"/>
      <c r="F194" s="274"/>
      <c r="G194" s="260"/>
      <c r="H194" s="275"/>
      <c r="I194" s="276">
        <v>40398</v>
      </c>
      <c r="J194" s="276">
        <v>20398</v>
      </c>
      <c r="K194" s="276"/>
      <c r="L194" s="276"/>
      <c r="M194" s="276">
        <v>200</v>
      </c>
      <c r="N194" s="276">
        <f t="shared" si="44"/>
        <v>200</v>
      </c>
      <c r="O194" s="276"/>
      <c r="P194" s="276">
        <v>200</v>
      </c>
      <c r="Q194" s="276"/>
      <c r="R194" s="276"/>
      <c r="S194" s="296"/>
      <c r="T194" s="276">
        <f t="shared" si="50"/>
        <v>0</v>
      </c>
      <c r="U194" s="276">
        <f t="shared" si="51"/>
        <v>0</v>
      </c>
      <c r="V194" s="296">
        <v>200</v>
      </c>
      <c r="W194" s="259"/>
      <c r="Y194" s="259"/>
      <c r="Z194" s="259"/>
      <c r="AA194" s="259"/>
      <c r="AB194" s="259">
        <v>1</v>
      </c>
    </row>
    <row r="195" spans="1:29" s="268" customFormat="1" ht="27.75" customHeight="1">
      <c r="A195" s="261" t="s">
        <v>507</v>
      </c>
      <c r="B195" s="290" t="s">
        <v>508</v>
      </c>
      <c r="C195" s="262"/>
      <c r="D195" s="261"/>
      <c r="E195" s="274"/>
      <c r="F195" s="274"/>
      <c r="G195" s="261"/>
      <c r="H195" s="263"/>
      <c r="I195" s="264">
        <f t="shared" ref="I195:M195" si="74">I196+I212+I215+I247+I248+I252+I256+I257+I263+I264+I269+I276+I296</f>
        <v>10094629.4</v>
      </c>
      <c r="J195" s="264">
        <f t="shared" si="74"/>
        <v>3297574.9</v>
      </c>
      <c r="K195" s="264">
        <f t="shared" si="74"/>
        <v>2829925</v>
      </c>
      <c r="L195" s="264">
        <f t="shared" si="74"/>
        <v>430962</v>
      </c>
      <c r="M195" s="264">
        <f t="shared" si="74"/>
        <v>1586885</v>
      </c>
      <c r="N195" s="264">
        <f t="shared" ref="N195:V195" si="75">N196+N212+N215+N247+N248+N252+N256+N257+N263+N264+N269+N276+N296</f>
        <v>1433256</v>
      </c>
      <c r="O195" s="264">
        <f t="shared" si="75"/>
        <v>296328</v>
      </c>
      <c r="P195" s="264">
        <f t="shared" si="75"/>
        <v>237856</v>
      </c>
      <c r="Q195" s="264">
        <f t="shared" si="75"/>
        <v>241205</v>
      </c>
      <c r="R195" s="264">
        <f t="shared" si="75"/>
        <v>273675</v>
      </c>
      <c r="S195" s="264">
        <f t="shared" si="75"/>
        <v>384192</v>
      </c>
      <c r="T195" s="264">
        <f t="shared" si="75"/>
        <v>506</v>
      </c>
      <c r="U195" s="264">
        <f t="shared" si="75"/>
        <v>154136</v>
      </c>
      <c r="V195" s="264">
        <f t="shared" si="75"/>
        <v>1433255</v>
      </c>
      <c r="W195" s="259"/>
      <c r="Y195" s="259"/>
      <c r="Z195" s="259"/>
      <c r="AA195" s="259"/>
      <c r="AB195" s="259"/>
    </row>
    <row r="196" spans="1:29" s="268" customFormat="1" ht="33" customHeight="1">
      <c r="A196" s="261" t="s">
        <v>354</v>
      </c>
      <c r="B196" s="290" t="s">
        <v>155</v>
      </c>
      <c r="C196" s="262"/>
      <c r="D196" s="261"/>
      <c r="E196" s="274"/>
      <c r="F196" s="274"/>
      <c r="G196" s="261"/>
      <c r="H196" s="263"/>
      <c r="I196" s="264">
        <f>I197+I203</f>
        <v>2525156</v>
      </c>
      <c r="J196" s="264">
        <f t="shared" ref="J196:M196" si="76">J197+J203</f>
        <v>802577</v>
      </c>
      <c r="K196" s="264">
        <f t="shared" si="76"/>
        <v>674169</v>
      </c>
      <c r="L196" s="264">
        <f t="shared" si="76"/>
        <v>152237</v>
      </c>
      <c r="M196" s="264">
        <f t="shared" si="76"/>
        <v>237053</v>
      </c>
      <c r="N196" s="264">
        <f t="shared" ref="N196:V196" si="77">N197+N203</f>
        <v>237054</v>
      </c>
      <c r="O196" s="264">
        <f t="shared" si="77"/>
        <v>15000</v>
      </c>
      <c r="P196" s="264">
        <f t="shared" si="77"/>
        <v>73533</v>
      </c>
      <c r="Q196" s="264">
        <f t="shared" si="77"/>
        <v>23674</v>
      </c>
      <c r="R196" s="264">
        <f t="shared" si="77"/>
        <v>48833</v>
      </c>
      <c r="S196" s="264">
        <f t="shared" si="77"/>
        <v>76014</v>
      </c>
      <c r="T196" s="264">
        <f t="shared" si="77"/>
        <v>0</v>
      </c>
      <c r="U196" s="264">
        <f t="shared" si="77"/>
        <v>0</v>
      </c>
      <c r="V196" s="264">
        <f t="shared" si="77"/>
        <v>237053</v>
      </c>
      <c r="W196" s="259"/>
      <c r="Y196" s="259"/>
      <c r="Z196" s="259"/>
      <c r="AA196" s="259"/>
      <c r="AB196" s="259"/>
      <c r="AC196" s="268">
        <f>M196/$M$69*100</f>
        <v>8.9705259905016579</v>
      </c>
    </row>
    <row r="197" spans="1:29" s="268" customFormat="1" ht="43.15" customHeight="1">
      <c r="A197" s="271" t="s">
        <v>408</v>
      </c>
      <c r="B197" s="272" t="s">
        <v>35</v>
      </c>
      <c r="C197" s="262"/>
      <c r="D197" s="261"/>
      <c r="E197" s="274"/>
      <c r="F197" s="274"/>
      <c r="G197" s="261"/>
      <c r="H197" s="263"/>
      <c r="I197" s="264">
        <f>SUM(I198:I202)</f>
        <v>665340</v>
      </c>
      <c r="J197" s="264">
        <f t="shared" ref="J197:M197" si="78">SUM(J198:J202)</f>
        <v>254941</v>
      </c>
      <c r="K197" s="264">
        <f t="shared" si="78"/>
        <v>438669</v>
      </c>
      <c r="L197" s="264">
        <f t="shared" si="78"/>
        <v>89637</v>
      </c>
      <c r="M197" s="264">
        <f t="shared" si="78"/>
        <v>114853</v>
      </c>
      <c r="N197" s="264">
        <f t="shared" ref="N197:V197" si="79">SUM(N198:N202)</f>
        <v>114854</v>
      </c>
      <c r="O197" s="264">
        <f t="shared" si="79"/>
        <v>15000</v>
      </c>
      <c r="P197" s="264">
        <f t="shared" si="79"/>
        <v>73283</v>
      </c>
      <c r="Q197" s="264">
        <f t="shared" si="79"/>
        <v>17474</v>
      </c>
      <c r="R197" s="264">
        <f t="shared" si="79"/>
        <v>7333</v>
      </c>
      <c r="S197" s="264">
        <f t="shared" si="79"/>
        <v>1764</v>
      </c>
      <c r="T197" s="264">
        <f t="shared" si="79"/>
        <v>0</v>
      </c>
      <c r="U197" s="264">
        <f t="shared" si="79"/>
        <v>0</v>
      </c>
      <c r="V197" s="264">
        <f t="shared" si="79"/>
        <v>114853</v>
      </c>
      <c r="W197" s="259"/>
      <c r="Y197" s="259"/>
      <c r="Z197" s="259"/>
      <c r="AA197" s="259"/>
      <c r="AB197" s="259"/>
    </row>
    <row r="198" spans="1:29" s="268" customFormat="1" ht="64.5" customHeight="1">
      <c r="A198" s="260">
        <v>1</v>
      </c>
      <c r="B198" s="273" t="s">
        <v>509</v>
      </c>
      <c r="C198" s="262" t="s">
        <v>38</v>
      </c>
      <c r="D198" s="260" t="s">
        <v>230</v>
      </c>
      <c r="E198" s="274">
        <v>2019</v>
      </c>
      <c r="F198" s="274">
        <v>2023</v>
      </c>
      <c r="G198" s="260"/>
      <c r="H198" s="275" t="s">
        <v>729</v>
      </c>
      <c r="I198" s="276">
        <v>60000</v>
      </c>
      <c r="J198" s="276">
        <v>60000</v>
      </c>
      <c r="K198" s="276">
        <v>8826</v>
      </c>
      <c r="L198" s="276">
        <v>8826</v>
      </c>
      <c r="M198" s="276">
        <v>49974</v>
      </c>
      <c r="N198" s="276">
        <f t="shared" si="44"/>
        <v>49974</v>
      </c>
      <c r="O198" s="276">
        <v>8000</v>
      </c>
      <c r="P198" s="276">
        <v>33174</v>
      </c>
      <c r="Q198" s="276">
        <v>4003</v>
      </c>
      <c r="R198" s="276">
        <v>3033</v>
      </c>
      <c r="S198" s="296">
        <v>1764</v>
      </c>
      <c r="T198" s="276">
        <f t="shared" si="50"/>
        <v>0</v>
      </c>
      <c r="U198" s="276">
        <f t="shared" si="51"/>
        <v>0</v>
      </c>
      <c r="V198" s="296">
        <v>49974</v>
      </c>
      <c r="W198" s="259"/>
      <c r="Y198" s="259">
        <v>1</v>
      </c>
      <c r="Z198" s="259"/>
      <c r="AA198" s="259"/>
      <c r="AB198" s="259"/>
    </row>
    <row r="199" spans="1:29" s="268" customFormat="1" ht="72" customHeight="1">
      <c r="A199" s="260">
        <v>2</v>
      </c>
      <c r="B199" s="273" t="s">
        <v>411</v>
      </c>
      <c r="C199" s="262" t="s">
        <v>38</v>
      </c>
      <c r="D199" s="260"/>
      <c r="E199" s="274">
        <v>2016</v>
      </c>
      <c r="F199" s="274">
        <v>2022</v>
      </c>
      <c r="G199" s="260"/>
      <c r="H199" s="275" t="s">
        <v>645</v>
      </c>
      <c r="I199" s="276">
        <v>154656</v>
      </c>
      <c r="J199" s="276">
        <v>15466</v>
      </c>
      <c r="K199" s="276">
        <v>127843</v>
      </c>
      <c r="L199" s="276">
        <v>14811</v>
      </c>
      <c r="M199" s="276">
        <v>655</v>
      </c>
      <c r="N199" s="276">
        <f t="shared" si="44"/>
        <v>655</v>
      </c>
      <c r="O199" s="276"/>
      <c r="P199" s="276">
        <v>655</v>
      </c>
      <c r="Q199" s="276"/>
      <c r="R199" s="276"/>
      <c r="S199" s="296"/>
      <c r="T199" s="276">
        <f t="shared" si="50"/>
        <v>0</v>
      </c>
      <c r="U199" s="276">
        <f t="shared" si="51"/>
        <v>0</v>
      </c>
      <c r="V199" s="296">
        <v>655</v>
      </c>
      <c r="W199" s="259"/>
      <c r="Y199" s="259">
        <v>1</v>
      </c>
      <c r="Z199" s="259"/>
      <c r="AA199" s="259"/>
      <c r="AB199" s="259"/>
    </row>
    <row r="200" spans="1:29" s="268" customFormat="1" ht="61.5" customHeight="1">
      <c r="A200" s="260">
        <v>3</v>
      </c>
      <c r="B200" s="273" t="s">
        <v>510</v>
      </c>
      <c r="C200" s="262" t="s">
        <v>38</v>
      </c>
      <c r="D200" s="260" t="s">
        <v>632</v>
      </c>
      <c r="E200" s="274">
        <v>2011</v>
      </c>
      <c r="F200" s="274">
        <v>2023</v>
      </c>
      <c r="G200" s="260"/>
      <c r="H200" s="314" t="s">
        <v>730</v>
      </c>
      <c r="I200" s="276">
        <v>341000</v>
      </c>
      <c r="J200" s="276">
        <v>120000</v>
      </c>
      <c r="K200" s="276">
        <v>272000</v>
      </c>
      <c r="L200" s="276">
        <v>48000</v>
      </c>
      <c r="M200" s="276">
        <v>31553</v>
      </c>
      <c r="N200" s="276">
        <f t="shared" si="44"/>
        <v>31554</v>
      </c>
      <c r="O200" s="276">
        <v>7000</v>
      </c>
      <c r="P200" s="276">
        <v>24554</v>
      </c>
      <c r="Q200" s="276"/>
      <c r="R200" s="276"/>
      <c r="S200" s="296"/>
      <c r="T200" s="276">
        <f t="shared" si="50"/>
        <v>0</v>
      </c>
      <c r="U200" s="276">
        <f t="shared" si="51"/>
        <v>0</v>
      </c>
      <c r="V200" s="296">
        <v>31553</v>
      </c>
      <c r="W200" s="259"/>
      <c r="Y200" s="259">
        <v>1</v>
      </c>
      <c r="Z200" s="259"/>
      <c r="AA200" s="259"/>
      <c r="AB200" s="259"/>
    </row>
    <row r="201" spans="1:29" s="268" customFormat="1" ht="79.900000000000006" customHeight="1">
      <c r="A201" s="260">
        <v>4</v>
      </c>
      <c r="B201" s="273" t="s">
        <v>511</v>
      </c>
      <c r="C201" s="262" t="s">
        <v>39</v>
      </c>
      <c r="D201" s="260" t="s">
        <v>628</v>
      </c>
      <c r="E201" s="274">
        <v>2015</v>
      </c>
      <c r="F201" s="274">
        <v>2023</v>
      </c>
      <c r="G201" s="260"/>
      <c r="H201" s="275" t="s">
        <v>731</v>
      </c>
      <c r="I201" s="276">
        <v>47184</v>
      </c>
      <c r="J201" s="276">
        <v>8975</v>
      </c>
      <c r="K201" s="276"/>
      <c r="L201" s="276"/>
      <c r="M201" s="276">
        <v>4471</v>
      </c>
      <c r="N201" s="276">
        <f t="shared" si="44"/>
        <v>4471</v>
      </c>
      <c r="O201" s="276"/>
      <c r="P201" s="276"/>
      <c r="Q201" s="276">
        <v>4471</v>
      </c>
      <c r="R201" s="276"/>
      <c r="S201" s="296"/>
      <c r="T201" s="276">
        <f t="shared" si="50"/>
        <v>0</v>
      </c>
      <c r="U201" s="276">
        <f t="shared" si="51"/>
        <v>0</v>
      </c>
      <c r="V201" s="296">
        <v>4471</v>
      </c>
      <c r="W201" s="259"/>
      <c r="Y201" s="259">
        <v>1</v>
      </c>
      <c r="Z201" s="259"/>
      <c r="AA201" s="259"/>
      <c r="AB201" s="259"/>
    </row>
    <row r="202" spans="1:29" s="268" customFormat="1" ht="61.5" customHeight="1">
      <c r="A202" s="260">
        <v>5</v>
      </c>
      <c r="B202" s="273" t="s">
        <v>512</v>
      </c>
      <c r="C202" s="262" t="s">
        <v>38</v>
      </c>
      <c r="D202" s="260"/>
      <c r="E202" s="274">
        <v>2016</v>
      </c>
      <c r="F202" s="274">
        <v>2023</v>
      </c>
      <c r="G202" s="260"/>
      <c r="H202" s="275" t="s">
        <v>732</v>
      </c>
      <c r="I202" s="276">
        <v>62500</v>
      </c>
      <c r="J202" s="276">
        <v>50500</v>
      </c>
      <c r="K202" s="276">
        <v>30000</v>
      </c>
      <c r="L202" s="276">
        <v>18000</v>
      </c>
      <c r="M202" s="276">
        <v>28200</v>
      </c>
      <c r="N202" s="276">
        <f t="shared" si="44"/>
        <v>28200</v>
      </c>
      <c r="O202" s="276"/>
      <c r="P202" s="276">
        <v>14900</v>
      </c>
      <c r="Q202" s="276">
        <v>9000</v>
      </c>
      <c r="R202" s="276">
        <v>4300</v>
      </c>
      <c r="S202" s="296"/>
      <c r="T202" s="276">
        <f t="shared" si="50"/>
        <v>0</v>
      </c>
      <c r="U202" s="276">
        <f t="shared" si="51"/>
        <v>0</v>
      </c>
      <c r="V202" s="296">
        <v>28200</v>
      </c>
      <c r="W202" s="259"/>
      <c r="Y202" s="259">
        <v>1</v>
      </c>
      <c r="Z202" s="259"/>
      <c r="AA202" s="259"/>
      <c r="AB202" s="259"/>
    </row>
    <row r="203" spans="1:29" s="268" customFormat="1">
      <c r="A203" s="271" t="s">
        <v>412</v>
      </c>
      <c r="B203" s="272" t="s">
        <v>36</v>
      </c>
      <c r="C203" s="262"/>
      <c r="D203" s="261"/>
      <c r="E203" s="274"/>
      <c r="F203" s="274"/>
      <c r="G203" s="261"/>
      <c r="H203" s="263"/>
      <c r="I203" s="264">
        <f>I204+I210</f>
        <v>1859816</v>
      </c>
      <c r="J203" s="264">
        <f t="shared" ref="J203:M203" si="80">J204+J210</f>
        <v>547636</v>
      </c>
      <c r="K203" s="264">
        <f t="shared" si="80"/>
        <v>235500</v>
      </c>
      <c r="L203" s="264">
        <f t="shared" si="80"/>
        <v>62600</v>
      </c>
      <c r="M203" s="264">
        <f t="shared" si="80"/>
        <v>122200</v>
      </c>
      <c r="N203" s="264">
        <f t="shared" ref="N203:V203" si="81">N204+N210</f>
        <v>122200</v>
      </c>
      <c r="O203" s="264">
        <f t="shared" si="81"/>
        <v>0</v>
      </c>
      <c r="P203" s="264">
        <f t="shared" si="81"/>
        <v>250</v>
      </c>
      <c r="Q203" s="264">
        <f t="shared" si="81"/>
        <v>6200</v>
      </c>
      <c r="R203" s="264">
        <f t="shared" si="81"/>
        <v>41500</v>
      </c>
      <c r="S203" s="264">
        <f t="shared" si="81"/>
        <v>74250</v>
      </c>
      <c r="T203" s="264">
        <f t="shared" si="81"/>
        <v>0</v>
      </c>
      <c r="U203" s="264">
        <f t="shared" si="81"/>
        <v>0</v>
      </c>
      <c r="V203" s="264">
        <f t="shared" si="81"/>
        <v>122200</v>
      </c>
      <c r="W203" s="259"/>
      <c r="Y203" s="259"/>
      <c r="Z203" s="259"/>
      <c r="AA203" s="259"/>
      <c r="AB203" s="259"/>
    </row>
    <row r="204" spans="1:29" s="288" customFormat="1" ht="42.75" customHeight="1">
      <c r="A204" s="279" t="s">
        <v>96</v>
      </c>
      <c r="B204" s="280" t="s">
        <v>123</v>
      </c>
      <c r="C204" s="306"/>
      <c r="D204" s="282"/>
      <c r="E204" s="307"/>
      <c r="F204" s="307"/>
      <c r="G204" s="282"/>
      <c r="H204" s="284"/>
      <c r="I204" s="285">
        <f>SUM(I205:I209)</f>
        <v>379816</v>
      </c>
      <c r="J204" s="285">
        <f t="shared" ref="J204:M204" si="82">SUM(J205:J209)</f>
        <v>206916</v>
      </c>
      <c r="K204" s="285">
        <f t="shared" si="82"/>
        <v>235500</v>
      </c>
      <c r="L204" s="285">
        <f t="shared" si="82"/>
        <v>62600</v>
      </c>
      <c r="M204" s="285">
        <f t="shared" si="82"/>
        <v>122200</v>
      </c>
      <c r="N204" s="285">
        <f t="shared" ref="N204:V204" si="83">SUM(N205:N209)</f>
        <v>122200</v>
      </c>
      <c r="O204" s="285">
        <f t="shared" si="83"/>
        <v>0</v>
      </c>
      <c r="P204" s="285">
        <f t="shared" si="83"/>
        <v>250</v>
      </c>
      <c r="Q204" s="285">
        <f t="shared" si="83"/>
        <v>6200</v>
      </c>
      <c r="R204" s="285">
        <f t="shared" si="83"/>
        <v>41500</v>
      </c>
      <c r="S204" s="285">
        <f t="shared" si="83"/>
        <v>74250</v>
      </c>
      <c r="T204" s="285">
        <f t="shared" si="83"/>
        <v>0</v>
      </c>
      <c r="U204" s="285">
        <f t="shared" si="83"/>
        <v>0</v>
      </c>
      <c r="V204" s="285">
        <f t="shared" si="83"/>
        <v>122200</v>
      </c>
      <c r="W204" s="308"/>
      <c r="Y204" s="308"/>
      <c r="Z204" s="308"/>
      <c r="AA204" s="308"/>
      <c r="AB204" s="308"/>
    </row>
    <row r="205" spans="1:29" s="268" customFormat="1" ht="51.75" customHeight="1">
      <c r="A205" s="260">
        <v>1</v>
      </c>
      <c r="B205" s="273" t="s">
        <v>513</v>
      </c>
      <c r="C205" s="262" t="s">
        <v>39</v>
      </c>
      <c r="D205" s="260" t="s">
        <v>628</v>
      </c>
      <c r="E205" s="274">
        <v>2023</v>
      </c>
      <c r="F205" s="274">
        <v>2025</v>
      </c>
      <c r="G205" s="260" t="s">
        <v>733</v>
      </c>
      <c r="H205" s="275" t="s">
        <v>734</v>
      </c>
      <c r="I205" s="276">
        <v>30000</v>
      </c>
      <c r="J205" s="276">
        <v>30000</v>
      </c>
      <c r="K205" s="276">
        <v>200</v>
      </c>
      <c r="L205" s="276">
        <v>200</v>
      </c>
      <c r="M205" s="276">
        <v>26800</v>
      </c>
      <c r="N205" s="276">
        <f t="shared" si="44"/>
        <v>26800</v>
      </c>
      <c r="O205" s="276"/>
      <c r="P205" s="276"/>
      <c r="Q205" s="276">
        <v>2000</v>
      </c>
      <c r="R205" s="276">
        <v>10000</v>
      </c>
      <c r="S205" s="296">
        <v>14800</v>
      </c>
      <c r="T205" s="276">
        <f t="shared" si="50"/>
        <v>0</v>
      </c>
      <c r="U205" s="276">
        <f t="shared" si="51"/>
        <v>0</v>
      </c>
      <c r="V205" s="296">
        <v>26800</v>
      </c>
      <c r="W205" s="259"/>
      <c r="Y205" s="259"/>
      <c r="Z205" s="259">
        <v>1</v>
      </c>
      <c r="AA205" s="259"/>
      <c r="AB205" s="259"/>
    </row>
    <row r="206" spans="1:29" s="268" customFormat="1" ht="51.75" customHeight="1">
      <c r="A206" s="260">
        <v>2</v>
      </c>
      <c r="B206" s="273" t="s">
        <v>514</v>
      </c>
      <c r="C206" s="262" t="s">
        <v>39</v>
      </c>
      <c r="D206" s="260" t="s">
        <v>632</v>
      </c>
      <c r="E206" s="274">
        <v>2023</v>
      </c>
      <c r="F206" s="274">
        <v>2025</v>
      </c>
      <c r="G206" s="260" t="s">
        <v>735</v>
      </c>
      <c r="H206" s="275" t="s">
        <v>736</v>
      </c>
      <c r="I206" s="276">
        <v>39800</v>
      </c>
      <c r="J206" s="276">
        <v>39800</v>
      </c>
      <c r="K206" s="276">
        <v>200</v>
      </c>
      <c r="L206" s="276">
        <v>200</v>
      </c>
      <c r="M206" s="276">
        <v>35600</v>
      </c>
      <c r="N206" s="276">
        <f t="shared" si="44"/>
        <v>35600</v>
      </c>
      <c r="O206" s="276"/>
      <c r="P206" s="276"/>
      <c r="Q206" s="276">
        <v>2000</v>
      </c>
      <c r="R206" s="276">
        <v>10000</v>
      </c>
      <c r="S206" s="296">
        <v>23600</v>
      </c>
      <c r="T206" s="276">
        <f t="shared" si="50"/>
        <v>0</v>
      </c>
      <c r="U206" s="276">
        <f t="shared" si="51"/>
        <v>0</v>
      </c>
      <c r="V206" s="296">
        <v>35600</v>
      </c>
      <c r="W206" s="259"/>
      <c r="Y206" s="259"/>
      <c r="Z206" s="259">
        <v>1</v>
      </c>
      <c r="AA206" s="259"/>
      <c r="AB206" s="259"/>
    </row>
    <row r="207" spans="1:29" s="268" customFormat="1" ht="51.75" customHeight="1">
      <c r="A207" s="260">
        <v>3</v>
      </c>
      <c r="B207" s="273" t="s">
        <v>515</v>
      </c>
      <c r="C207" s="262" t="s">
        <v>39</v>
      </c>
      <c r="D207" s="260" t="s">
        <v>629</v>
      </c>
      <c r="E207" s="274">
        <v>2023</v>
      </c>
      <c r="F207" s="274">
        <v>2025</v>
      </c>
      <c r="G207" s="260" t="s">
        <v>737</v>
      </c>
      <c r="H207" s="275" t="s">
        <v>738</v>
      </c>
      <c r="I207" s="276">
        <v>30000</v>
      </c>
      <c r="J207" s="276">
        <v>30000</v>
      </c>
      <c r="K207" s="276">
        <v>200</v>
      </c>
      <c r="L207" s="276">
        <v>200</v>
      </c>
      <c r="M207" s="276">
        <v>26800</v>
      </c>
      <c r="N207" s="276">
        <f t="shared" si="44"/>
        <v>26800</v>
      </c>
      <c r="O207" s="276"/>
      <c r="P207" s="276"/>
      <c r="Q207" s="276">
        <v>2000</v>
      </c>
      <c r="R207" s="276">
        <v>10000</v>
      </c>
      <c r="S207" s="296">
        <v>14800</v>
      </c>
      <c r="T207" s="276">
        <f t="shared" si="50"/>
        <v>0</v>
      </c>
      <c r="U207" s="276">
        <f t="shared" si="51"/>
        <v>0</v>
      </c>
      <c r="V207" s="296">
        <v>26800</v>
      </c>
      <c r="W207" s="259"/>
      <c r="Y207" s="259"/>
      <c r="Z207" s="259">
        <v>1</v>
      </c>
      <c r="AA207" s="259"/>
      <c r="AB207" s="259"/>
    </row>
    <row r="208" spans="1:29" s="268" customFormat="1" ht="51.75" customHeight="1">
      <c r="A208" s="260">
        <v>4</v>
      </c>
      <c r="B208" s="273" t="s">
        <v>516</v>
      </c>
      <c r="C208" s="262" t="s">
        <v>38</v>
      </c>
      <c r="D208" s="260" t="s">
        <v>625</v>
      </c>
      <c r="E208" s="274">
        <v>2023</v>
      </c>
      <c r="F208" s="274">
        <v>2025</v>
      </c>
      <c r="G208" s="260"/>
      <c r="H208" s="275" t="s">
        <v>739</v>
      </c>
      <c r="I208" s="276">
        <v>273016</v>
      </c>
      <c r="J208" s="276">
        <v>100116</v>
      </c>
      <c r="K208" s="276">
        <v>234900</v>
      </c>
      <c r="L208" s="276">
        <v>62000</v>
      </c>
      <c r="M208" s="276">
        <v>26000</v>
      </c>
      <c r="N208" s="276">
        <f t="shared" si="44"/>
        <v>26000</v>
      </c>
      <c r="O208" s="276"/>
      <c r="P208" s="276">
        <v>250</v>
      </c>
      <c r="Q208" s="276">
        <v>200</v>
      </c>
      <c r="R208" s="276">
        <v>9500</v>
      </c>
      <c r="S208" s="296">
        <v>16050</v>
      </c>
      <c r="T208" s="276">
        <f t="shared" si="50"/>
        <v>0</v>
      </c>
      <c r="U208" s="276">
        <f t="shared" si="51"/>
        <v>0</v>
      </c>
      <c r="V208" s="296">
        <v>26000</v>
      </c>
      <c r="W208" s="259"/>
      <c r="Y208" s="259"/>
      <c r="Z208" s="259">
        <v>1</v>
      </c>
      <c r="AA208" s="259"/>
      <c r="AB208" s="259"/>
    </row>
    <row r="209" spans="1:29" s="268" customFormat="1" ht="51" customHeight="1">
      <c r="A209" s="260">
        <v>5</v>
      </c>
      <c r="B209" s="273" t="s">
        <v>518</v>
      </c>
      <c r="C209" s="262" t="s">
        <v>39</v>
      </c>
      <c r="D209" s="260" t="s">
        <v>632</v>
      </c>
      <c r="E209" s="274">
        <v>2024</v>
      </c>
      <c r="F209" s="274">
        <v>2025</v>
      </c>
      <c r="G209" s="260"/>
      <c r="H209" s="275" t="s">
        <v>741</v>
      </c>
      <c r="I209" s="276">
        <v>7000</v>
      </c>
      <c r="J209" s="276">
        <v>7000</v>
      </c>
      <c r="K209" s="276"/>
      <c r="L209" s="276"/>
      <c r="M209" s="276">
        <v>7000</v>
      </c>
      <c r="N209" s="276">
        <f t="shared" si="44"/>
        <v>7000</v>
      </c>
      <c r="O209" s="276"/>
      <c r="P209" s="276"/>
      <c r="Q209" s="276"/>
      <c r="R209" s="276">
        <v>2000</v>
      </c>
      <c r="S209" s="296">
        <v>5000</v>
      </c>
      <c r="T209" s="276">
        <f t="shared" si="50"/>
        <v>0</v>
      </c>
      <c r="U209" s="276">
        <f t="shared" si="51"/>
        <v>0</v>
      </c>
      <c r="V209" s="296">
        <v>7000</v>
      </c>
      <c r="W209" s="259"/>
      <c r="Y209" s="259"/>
      <c r="Z209" s="259">
        <v>1</v>
      </c>
      <c r="AA209" s="259"/>
      <c r="AB209" s="259"/>
    </row>
    <row r="210" spans="1:29" s="288" customFormat="1" ht="33.75" customHeight="1">
      <c r="A210" s="279" t="s">
        <v>97</v>
      </c>
      <c r="B210" s="280" t="s">
        <v>98</v>
      </c>
      <c r="C210" s="281"/>
      <c r="D210" s="282"/>
      <c r="E210" s="283"/>
      <c r="F210" s="283"/>
      <c r="G210" s="282"/>
      <c r="H210" s="284"/>
      <c r="I210" s="285">
        <f>I211</f>
        <v>1480000</v>
      </c>
      <c r="J210" s="285">
        <f t="shared" ref="J210:V210" si="84">J211</f>
        <v>340720</v>
      </c>
      <c r="K210" s="285">
        <f t="shared" si="84"/>
        <v>0</v>
      </c>
      <c r="L210" s="285">
        <f t="shared" si="84"/>
        <v>0</v>
      </c>
      <c r="M210" s="285">
        <f t="shared" si="84"/>
        <v>0</v>
      </c>
      <c r="N210" s="285">
        <f t="shared" si="84"/>
        <v>0</v>
      </c>
      <c r="O210" s="285">
        <f t="shared" si="84"/>
        <v>0</v>
      </c>
      <c r="P210" s="285">
        <f t="shared" si="84"/>
        <v>0</v>
      </c>
      <c r="Q210" s="285">
        <f t="shared" si="84"/>
        <v>0</v>
      </c>
      <c r="R210" s="285">
        <f t="shared" si="84"/>
        <v>0</v>
      </c>
      <c r="S210" s="285">
        <f t="shared" si="84"/>
        <v>0</v>
      </c>
      <c r="T210" s="285">
        <f t="shared" si="84"/>
        <v>0</v>
      </c>
      <c r="U210" s="285">
        <f t="shared" si="84"/>
        <v>0</v>
      </c>
      <c r="V210" s="285">
        <f t="shared" si="84"/>
        <v>0</v>
      </c>
      <c r="W210" s="287"/>
      <c r="Y210" s="287"/>
      <c r="Z210" s="287"/>
      <c r="AA210" s="287"/>
      <c r="AB210" s="287"/>
    </row>
    <row r="211" spans="1:29" s="268" customFormat="1" ht="38.25" customHeight="1">
      <c r="A211" s="260">
        <v>1</v>
      </c>
      <c r="B211" s="273" t="s">
        <v>517</v>
      </c>
      <c r="C211" s="262"/>
      <c r="D211" s="260"/>
      <c r="E211" s="274"/>
      <c r="F211" s="274"/>
      <c r="G211" s="260"/>
      <c r="H211" s="275" t="s">
        <v>740</v>
      </c>
      <c r="I211" s="276">
        <v>1480000</v>
      </c>
      <c r="J211" s="276">
        <v>340720</v>
      </c>
      <c r="K211" s="276"/>
      <c r="L211" s="276"/>
      <c r="M211" s="276"/>
      <c r="N211" s="276">
        <f t="shared" si="44"/>
        <v>0</v>
      </c>
      <c r="O211" s="276"/>
      <c r="P211" s="276"/>
      <c r="Q211" s="276"/>
      <c r="R211" s="276"/>
      <c r="S211" s="296"/>
      <c r="T211" s="276">
        <f t="shared" si="50"/>
        <v>0</v>
      </c>
      <c r="U211" s="276">
        <f t="shared" si="51"/>
        <v>0</v>
      </c>
      <c r="V211" s="296">
        <v>0</v>
      </c>
      <c r="W211" s="259"/>
      <c r="X211" s="315" t="s">
        <v>860</v>
      </c>
      <c r="Y211" s="259"/>
      <c r="Z211" s="259"/>
      <c r="AA211" s="259"/>
      <c r="AB211" s="259"/>
    </row>
    <row r="212" spans="1:29" s="268" customFormat="1" ht="23.25" customHeight="1">
      <c r="A212" s="261" t="s">
        <v>355</v>
      </c>
      <c r="B212" s="290" t="s">
        <v>165</v>
      </c>
      <c r="C212" s="262"/>
      <c r="D212" s="261"/>
      <c r="E212" s="274"/>
      <c r="F212" s="274"/>
      <c r="G212" s="261"/>
      <c r="H212" s="263"/>
      <c r="I212" s="264">
        <f>I213</f>
        <v>1199000</v>
      </c>
      <c r="J212" s="264">
        <f t="shared" ref="J212:V213" si="85">J213</f>
        <v>180000</v>
      </c>
      <c r="K212" s="264">
        <f t="shared" si="85"/>
        <v>309693</v>
      </c>
      <c r="L212" s="264">
        <f t="shared" si="85"/>
        <v>46534</v>
      </c>
      <c r="M212" s="264">
        <f t="shared" si="85"/>
        <v>128190</v>
      </c>
      <c r="N212" s="264">
        <f t="shared" si="85"/>
        <v>128190</v>
      </c>
      <c r="O212" s="264">
        <f t="shared" si="85"/>
        <v>5000</v>
      </c>
      <c r="P212" s="264">
        <f t="shared" si="85"/>
        <v>19000</v>
      </c>
      <c r="Q212" s="264">
        <f t="shared" si="85"/>
        <v>29000</v>
      </c>
      <c r="R212" s="264">
        <f t="shared" si="85"/>
        <v>40467</v>
      </c>
      <c r="S212" s="264">
        <f t="shared" si="85"/>
        <v>34723</v>
      </c>
      <c r="T212" s="264">
        <f t="shared" si="85"/>
        <v>0</v>
      </c>
      <c r="U212" s="264">
        <f t="shared" si="85"/>
        <v>0</v>
      </c>
      <c r="V212" s="264">
        <f t="shared" si="85"/>
        <v>128190</v>
      </c>
      <c r="W212" s="259"/>
      <c r="Y212" s="259"/>
      <c r="Z212" s="259"/>
      <c r="AA212" s="259"/>
      <c r="AB212" s="259"/>
    </row>
    <row r="213" spans="1:29" s="268" customFormat="1" ht="45" customHeight="1">
      <c r="A213" s="271" t="s">
        <v>408</v>
      </c>
      <c r="B213" s="272" t="s">
        <v>35</v>
      </c>
      <c r="C213" s="262"/>
      <c r="D213" s="261"/>
      <c r="E213" s="274"/>
      <c r="F213" s="274"/>
      <c r="G213" s="261"/>
      <c r="H213" s="263"/>
      <c r="I213" s="264">
        <f>I214</f>
        <v>1199000</v>
      </c>
      <c r="J213" s="264">
        <f t="shared" si="85"/>
        <v>180000</v>
      </c>
      <c r="K213" s="264">
        <f t="shared" si="85"/>
        <v>309693</v>
      </c>
      <c r="L213" s="264">
        <f t="shared" si="85"/>
        <v>46534</v>
      </c>
      <c r="M213" s="264">
        <f t="shared" si="85"/>
        <v>128190</v>
      </c>
      <c r="N213" s="264">
        <f t="shared" ref="N213:V213" si="86">N214</f>
        <v>128190</v>
      </c>
      <c r="O213" s="264">
        <f t="shared" si="86"/>
        <v>5000</v>
      </c>
      <c r="P213" s="264">
        <f t="shared" si="86"/>
        <v>19000</v>
      </c>
      <c r="Q213" s="264">
        <f t="shared" si="86"/>
        <v>29000</v>
      </c>
      <c r="R213" s="264">
        <f t="shared" si="86"/>
        <v>40467</v>
      </c>
      <c r="S213" s="264">
        <f t="shared" si="86"/>
        <v>34723</v>
      </c>
      <c r="T213" s="264">
        <f t="shared" si="86"/>
        <v>0</v>
      </c>
      <c r="U213" s="264">
        <f t="shared" si="86"/>
        <v>0</v>
      </c>
      <c r="V213" s="264">
        <f t="shared" si="86"/>
        <v>128190</v>
      </c>
      <c r="W213" s="259"/>
      <c r="Y213" s="259"/>
      <c r="Z213" s="259"/>
      <c r="AA213" s="259"/>
      <c r="AB213" s="259"/>
    </row>
    <row r="214" spans="1:29" s="268" customFormat="1" ht="91.5" customHeight="1">
      <c r="A214" s="260">
        <v>1</v>
      </c>
      <c r="B214" s="273" t="s">
        <v>410</v>
      </c>
      <c r="C214" s="262" t="s">
        <v>38</v>
      </c>
      <c r="D214" s="260"/>
      <c r="E214" s="274">
        <v>2014</v>
      </c>
      <c r="F214" s="274">
        <v>2025</v>
      </c>
      <c r="G214" s="260"/>
      <c r="H214" s="275" t="s">
        <v>644</v>
      </c>
      <c r="I214" s="276">
        <v>1199000</v>
      </c>
      <c r="J214" s="276">
        <v>180000</v>
      </c>
      <c r="K214" s="276">
        <v>309693</v>
      </c>
      <c r="L214" s="276">
        <v>46534</v>
      </c>
      <c r="M214" s="276">
        <v>128190</v>
      </c>
      <c r="N214" s="276">
        <f t="shared" si="44"/>
        <v>128190</v>
      </c>
      <c r="O214" s="276">
        <v>5000</v>
      </c>
      <c r="P214" s="276">
        <v>19000</v>
      </c>
      <c r="Q214" s="276">
        <v>29000</v>
      </c>
      <c r="R214" s="276">
        <v>40467</v>
      </c>
      <c r="S214" s="296">
        <v>34723</v>
      </c>
      <c r="T214" s="276">
        <f t="shared" si="50"/>
        <v>0</v>
      </c>
      <c r="U214" s="276">
        <f t="shared" si="51"/>
        <v>0</v>
      </c>
      <c r="V214" s="296">
        <v>128190</v>
      </c>
      <c r="W214" s="259"/>
      <c r="Y214" s="259">
        <v>1</v>
      </c>
      <c r="Z214" s="259"/>
      <c r="AA214" s="259"/>
      <c r="AB214" s="259"/>
    </row>
    <row r="215" spans="1:29" s="268" customFormat="1" ht="21.4" customHeight="1">
      <c r="A215" s="261" t="s">
        <v>357</v>
      </c>
      <c r="B215" s="290" t="s">
        <v>167</v>
      </c>
      <c r="C215" s="262"/>
      <c r="D215" s="261"/>
      <c r="E215" s="274"/>
      <c r="F215" s="274"/>
      <c r="G215" s="261"/>
      <c r="H215" s="263"/>
      <c r="I215" s="264">
        <f>I216+I223+I242</f>
        <v>5134602</v>
      </c>
      <c r="J215" s="264">
        <f t="shared" ref="J215:M215" si="87">J216+J223+J242</f>
        <v>1265238.5</v>
      </c>
      <c r="K215" s="264">
        <f t="shared" si="87"/>
        <v>1574410</v>
      </c>
      <c r="L215" s="264">
        <f t="shared" si="87"/>
        <v>12100</v>
      </c>
      <c r="M215" s="264">
        <f t="shared" si="87"/>
        <v>536745</v>
      </c>
      <c r="N215" s="264">
        <f t="shared" ref="N215:V215" si="88">N216+N223+N242</f>
        <v>445852</v>
      </c>
      <c r="O215" s="264">
        <f t="shared" si="88"/>
        <v>50132</v>
      </c>
      <c r="P215" s="264">
        <f t="shared" si="88"/>
        <v>98429</v>
      </c>
      <c r="Q215" s="264">
        <f t="shared" si="88"/>
        <v>40803</v>
      </c>
      <c r="R215" s="264">
        <f t="shared" si="88"/>
        <v>85997</v>
      </c>
      <c r="S215" s="264">
        <f t="shared" si="88"/>
        <v>170491</v>
      </c>
      <c r="T215" s="264">
        <f t="shared" si="88"/>
        <v>0</v>
      </c>
      <c r="U215" s="264">
        <f t="shared" si="88"/>
        <v>90893</v>
      </c>
      <c r="V215" s="264">
        <f t="shared" si="88"/>
        <v>445852</v>
      </c>
      <c r="W215" s="259"/>
      <c r="Y215" s="259"/>
      <c r="Z215" s="259"/>
      <c r="AA215" s="259"/>
      <c r="AB215" s="259"/>
      <c r="AC215" s="268">
        <f>M215/$M$69*100</f>
        <v>20.311428131142879</v>
      </c>
    </row>
    <row r="216" spans="1:29" s="268" customFormat="1" ht="45.4" customHeight="1">
      <c r="A216" s="271" t="s">
        <v>408</v>
      </c>
      <c r="B216" s="272" t="s">
        <v>35</v>
      </c>
      <c r="C216" s="262"/>
      <c r="D216" s="261"/>
      <c r="E216" s="274"/>
      <c r="F216" s="274"/>
      <c r="G216" s="261"/>
      <c r="H216" s="263"/>
      <c r="I216" s="264">
        <f>SUM(I217:I222)</f>
        <v>2587741</v>
      </c>
      <c r="J216" s="264">
        <f t="shared" ref="J216:M216" si="89">SUM(J217:J222)</f>
        <v>175399</v>
      </c>
      <c r="K216" s="264">
        <f t="shared" si="89"/>
        <v>1573310</v>
      </c>
      <c r="L216" s="264">
        <f t="shared" si="89"/>
        <v>11000</v>
      </c>
      <c r="M216" s="264">
        <f t="shared" si="89"/>
        <v>102353</v>
      </c>
      <c r="N216" s="264">
        <f t="shared" ref="N216:V216" si="90">SUM(N217:N222)</f>
        <v>101353</v>
      </c>
      <c r="O216" s="264">
        <f t="shared" si="90"/>
        <v>50132</v>
      </c>
      <c r="P216" s="264">
        <f t="shared" si="90"/>
        <v>25929</v>
      </c>
      <c r="Q216" s="264">
        <f t="shared" si="90"/>
        <v>0</v>
      </c>
      <c r="R216" s="264">
        <f t="shared" si="90"/>
        <v>20936</v>
      </c>
      <c r="S216" s="264">
        <f t="shared" si="90"/>
        <v>4356</v>
      </c>
      <c r="T216" s="264">
        <f t="shared" si="90"/>
        <v>0</v>
      </c>
      <c r="U216" s="264">
        <f t="shared" si="90"/>
        <v>1000</v>
      </c>
      <c r="V216" s="264">
        <f t="shared" si="90"/>
        <v>101353</v>
      </c>
      <c r="W216" s="259"/>
      <c r="Y216" s="259"/>
      <c r="Z216" s="259"/>
      <c r="AA216" s="259"/>
      <c r="AB216" s="259"/>
    </row>
    <row r="217" spans="1:29" s="268" customFormat="1" ht="74.25" customHeight="1">
      <c r="A217" s="305">
        <v>1</v>
      </c>
      <c r="B217" s="309" t="s">
        <v>519</v>
      </c>
      <c r="C217" s="262" t="s">
        <v>38</v>
      </c>
      <c r="D217" s="294" t="s">
        <v>632</v>
      </c>
      <c r="E217" s="274">
        <v>2015</v>
      </c>
      <c r="F217" s="274">
        <v>2021</v>
      </c>
      <c r="G217" s="294" t="s">
        <v>267</v>
      </c>
      <c r="H217" s="275" t="s">
        <v>742</v>
      </c>
      <c r="I217" s="295">
        <v>105000</v>
      </c>
      <c r="J217" s="295">
        <v>10500</v>
      </c>
      <c r="K217" s="295">
        <v>85000</v>
      </c>
      <c r="L217" s="295">
        <v>3500</v>
      </c>
      <c r="M217" s="295">
        <v>9773</v>
      </c>
      <c r="N217" s="276">
        <f t="shared" ref="N217:N279" si="91">SUM(O217:S217)</f>
        <v>8773</v>
      </c>
      <c r="O217" s="276"/>
      <c r="P217" s="276">
        <v>8773</v>
      </c>
      <c r="Q217" s="276"/>
      <c r="R217" s="276"/>
      <c r="S217" s="296"/>
      <c r="T217" s="276">
        <f t="shared" si="50"/>
        <v>0</v>
      </c>
      <c r="U217" s="276">
        <f t="shared" si="51"/>
        <v>1000</v>
      </c>
      <c r="V217" s="296">
        <v>8773</v>
      </c>
      <c r="W217" s="259"/>
      <c r="Y217" s="259">
        <v>1</v>
      </c>
      <c r="Z217" s="259"/>
      <c r="AA217" s="259"/>
      <c r="AB217" s="259"/>
    </row>
    <row r="218" spans="1:29" s="268" customFormat="1" ht="36.75" customHeight="1">
      <c r="A218" s="260">
        <v>2</v>
      </c>
      <c r="B218" s="273" t="s">
        <v>520</v>
      </c>
      <c r="C218" s="262" t="s">
        <v>39</v>
      </c>
      <c r="D218" s="260" t="s">
        <v>630</v>
      </c>
      <c r="E218" s="274">
        <v>2020</v>
      </c>
      <c r="F218" s="274">
        <v>2022</v>
      </c>
      <c r="G218" s="294" t="s">
        <v>743</v>
      </c>
      <c r="H218" s="275" t="s">
        <v>744</v>
      </c>
      <c r="I218" s="276">
        <v>7500</v>
      </c>
      <c r="J218" s="276">
        <v>2969</v>
      </c>
      <c r="K218" s="276">
        <v>1930</v>
      </c>
      <c r="L218" s="276"/>
      <c r="M218" s="276">
        <v>2969</v>
      </c>
      <c r="N218" s="276">
        <f t="shared" si="91"/>
        <v>2969</v>
      </c>
      <c r="O218" s="276"/>
      <c r="P218" s="276">
        <v>2969</v>
      </c>
      <c r="Q218" s="276"/>
      <c r="R218" s="276"/>
      <c r="S218" s="296"/>
      <c r="T218" s="276">
        <f t="shared" si="50"/>
        <v>0</v>
      </c>
      <c r="U218" s="276">
        <f t="shared" si="51"/>
        <v>0</v>
      </c>
      <c r="V218" s="296">
        <v>2969</v>
      </c>
      <c r="W218" s="259"/>
      <c r="Y218" s="259">
        <v>1</v>
      </c>
      <c r="Z218" s="259"/>
      <c r="AA218" s="259"/>
      <c r="AB218" s="259"/>
    </row>
    <row r="219" spans="1:29" s="268" customFormat="1" ht="42" customHeight="1">
      <c r="A219" s="305">
        <v>3</v>
      </c>
      <c r="B219" s="273" t="s">
        <v>409</v>
      </c>
      <c r="C219" s="262" t="s">
        <v>38</v>
      </c>
      <c r="D219" s="260"/>
      <c r="E219" s="274">
        <v>2017</v>
      </c>
      <c r="F219" s="274">
        <v>2021</v>
      </c>
      <c r="G219" s="260"/>
      <c r="H219" s="275" t="s">
        <v>643</v>
      </c>
      <c r="I219" s="276">
        <v>372546</v>
      </c>
      <c r="J219" s="276">
        <v>30755</v>
      </c>
      <c r="K219" s="276">
        <v>349403</v>
      </c>
      <c r="L219" s="276">
        <v>7500</v>
      </c>
      <c r="M219" s="276">
        <v>2000</v>
      </c>
      <c r="N219" s="276">
        <f t="shared" si="91"/>
        <v>2000</v>
      </c>
      <c r="O219" s="276">
        <v>2000</v>
      </c>
      <c r="P219" s="276"/>
      <c r="Q219" s="276"/>
      <c r="R219" s="276"/>
      <c r="S219" s="296"/>
      <c r="T219" s="276">
        <f t="shared" ref="T219:T281" si="92">IF(V219&gt;M219,V219-M219,0)</f>
        <v>0</v>
      </c>
      <c r="U219" s="276">
        <f t="shared" ref="U219:U281" si="93">IF(V219&lt;M219,M219-V219,0)</f>
        <v>0</v>
      </c>
      <c r="V219" s="296">
        <v>2000</v>
      </c>
      <c r="W219" s="259"/>
      <c r="Y219" s="259">
        <v>1</v>
      </c>
      <c r="Z219" s="259"/>
      <c r="AA219" s="259"/>
      <c r="AB219" s="259"/>
    </row>
    <row r="220" spans="1:29" s="268" customFormat="1" ht="65.25" customHeight="1">
      <c r="A220" s="260">
        <v>4</v>
      </c>
      <c r="B220" s="273" t="s">
        <v>386</v>
      </c>
      <c r="C220" s="262" t="s">
        <v>38</v>
      </c>
      <c r="D220" s="260" t="s">
        <v>229</v>
      </c>
      <c r="E220" s="274">
        <v>2015</v>
      </c>
      <c r="F220" s="274">
        <v>2022</v>
      </c>
      <c r="G220" s="260"/>
      <c r="H220" s="275" t="s">
        <v>653</v>
      </c>
      <c r="I220" s="276">
        <v>550000</v>
      </c>
      <c r="J220" s="276">
        <v>90883</v>
      </c>
      <c r="K220" s="276">
        <v>288385</v>
      </c>
      <c r="L220" s="276"/>
      <c r="M220" s="276">
        <v>60000</v>
      </c>
      <c r="N220" s="276">
        <f t="shared" si="91"/>
        <v>60000</v>
      </c>
      <c r="O220" s="276">
        <v>48132</v>
      </c>
      <c r="P220" s="276">
        <v>11868</v>
      </c>
      <c r="Q220" s="276"/>
      <c r="R220" s="276"/>
      <c r="S220" s="296"/>
      <c r="T220" s="276">
        <f t="shared" si="92"/>
        <v>0</v>
      </c>
      <c r="U220" s="276">
        <f t="shared" si="93"/>
        <v>0</v>
      </c>
      <c r="V220" s="296">
        <v>60000</v>
      </c>
      <c r="W220" s="259"/>
      <c r="Y220" s="259">
        <v>1</v>
      </c>
      <c r="Z220" s="259"/>
      <c r="AA220" s="259"/>
      <c r="AB220" s="259"/>
    </row>
    <row r="221" spans="1:29" s="268" customFormat="1" ht="46.5" customHeight="1">
      <c r="A221" s="305">
        <v>5</v>
      </c>
      <c r="B221" s="273" t="s">
        <v>521</v>
      </c>
      <c r="C221" s="262" t="s">
        <v>38</v>
      </c>
      <c r="D221" s="260" t="s">
        <v>633</v>
      </c>
      <c r="E221" s="274">
        <v>2007</v>
      </c>
      <c r="F221" s="274">
        <v>2014</v>
      </c>
      <c r="G221" s="260"/>
      <c r="H221" s="275" t="s">
        <v>315</v>
      </c>
      <c r="I221" s="276">
        <v>862695</v>
      </c>
      <c r="J221" s="276"/>
      <c r="K221" s="276">
        <v>848592</v>
      </c>
      <c r="L221" s="276"/>
      <c r="M221" s="276">
        <v>2319</v>
      </c>
      <c r="N221" s="276">
        <f t="shared" si="91"/>
        <v>2319</v>
      </c>
      <c r="O221" s="276"/>
      <c r="P221" s="276">
        <v>2319</v>
      </c>
      <c r="Q221" s="276"/>
      <c r="R221" s="276"/>
      <c r="S221" s="296"/>
      <c r="T221" s="276">
        <f t="shared" si="92"/>
        <v>0</v>
      </c>
      <c r="U221" s="276">
        <f t="shared" si="93"/>
        <v>0</v>
      </c>
      <c r="V221" s="296">
        <v>2319</v>
      </c>
      <c r="W221" s="259"/>
      <c r="Y221" s="259">
        <v>1</v>
      </c>
      <c r="Z221" s="259"/>
      <c r="AA221" s="259"/>
      <c r="AB221" s="259"/>
    </row>
    <row r="222" spans="1:29" s="268" customFormat="1" ht="96" customHeight="1">
      <c r="A222" s="305">
        <v>6</v>
      </c>
      <c r="B222" s="273" t="s">
        <v>174</v>
      </c>
      <c r="C222" s="262"/>
      <c r="D222" s="260"/>
      <c r="E222" s="274"/>
      <c r="F222" s="274"/>
      <c r="G222" s="260"/>
      <c r="H222" s="275" t="s">
        <v>320</v>
      </c>
      <c r="I222" s="276">
        <v>690000</v>
      </c>
      <c r="J222" s="276">
        <v>40292</v>
      </c>
      <c r="K222" s="276"/>
      <c r="L222" s="276"/>
      <c r="M222" s="276">
        <v>25292</v>
      </c>
      <c r="N222" s="276">
        <f t="shared" si="91"/>
        <v>25292</v>
      </c>
      <c r="O222" s="276"/>
      <c r="P222" s="276"/>
      <c r="Q222" s="276"/>
      <c r="R222" s="276">
        <v>20936</v>
      </c>
      <c r="S222" s="296">
        <v>4356</v>
      </c>
      <c r="T222" s="276">
        <f t="shared" si="92"/>
        <v>0</v>
      </c>
      <c r="U222" s="276">
        <f t="shared" si="93"/>
        <v>0</v>
      </c>
      <c r="V222" s="296">
        <v>25292</v>
      </c>
      <c r="W222" s="259"/>
      <c r="Y222" s="259">
        <v>1</v>
      </c>
      <c r="Z222" s="259"/>
      <c r="AA222" s="259"/>
      <c r="AB222" s="259"/>
    </row>
    <row r="223" spans="1:29" s="268" customFormat="1" ht="39" customHeight="1">
      <c r="A223" s="271" t="s">
        <v>412</v>
      </c>
      <c r="B223" s="272" t="s">
        <v>36</v>
      </c>
      <c r="C223" s="262"/>
      <c r="D223" s="261"/>
      <c r="E223" s="274"/>
      <c r="F223" s="274"/>
      <c r="G223" s="261"/>
      <c r="H223" s="263"/>
      <c r="I223" s="264">
        <f>I224+I238</f>
        <v>1726500</v>
      </c>
      <c r="J223" s="264">
        <f t="shared" ref="J223:M223" si="94">J224+J238</f>
        <v>628259</v>
      </c>
      <c r="K223" s="264">
        <f t="shared" si="94"/>
        <v>1100</v>
      </c>
      <c r="L223" s="264">
        <f t="shared" si="94"/>
        <v>1100</v>
      </c>
      <c r="M223" s="264">
        <f t="shared" si="94"/>
        <v>428992</v>
      </c>
      <c r="N223" s="264">
        <f t="shared" ref="N223:V223" si="95">N224+N238</f>
        <v>342299</v>
      </c>
      <c r="O223" s="264">
        <f t="shared" si="95"/>
        <v>0</v>
      </c>
      <c r="P223" s="264">
        <f t="shared" si="95"/>
        <v>72500</v>
      </c>
      <c r="Q223" s="264">
        <f t="shared" si="95"/>
        <v>40803</v>
      </c>
      <c r="R223" s="264">
        <f t="shared" si="95"/>
        <v>65061</v>
      </c>
      <c r="S223" s="264">
        <f t="shared" si="95"/>
        <v>163935</v>
      </c>
      <c r="T223" s="264">
        <f t="shared" si="95"/>
        <v>0</v>
      </c>
      <c r="U223" s="264">
        <f t="shared" si="95"/>
        <v>86693</v>
      </c>
      <c r="V223" s="264">
        <f t="shared" si="95"/>
        <v>342299</v>
      </c>
      <c r="W223" s="259"/>
      <c r="Y223" s="259"/>
      <c r="Z223" s="259"/>
      <c r="AA223" s="259"/>
      <c r="AB223" s="259"/>
    </row>
    <row r="224" spans="1:29" s="288" customFormat="1" ht="43.5" customHeight="1">
      <c r="A224" s="279" t="s">
        <v>96</v>
      </c>
      <c r="B224" s="280" t="s">
        <v>123</v>
      </c>
      <c r="C224" s="306"/>
      <c r="D224" s="282"/>
      <c r="E224" s="307"/>
      <c r="F224" s="307"/>
      <c r="G224" s="282"/>
      <c r="H224" s="284"/>
      <c r="I224" s="285">
        <f>SUM(I225:I237)</f>
        <v>1566500</v>
      </c>
      <c r="J224" s="285">
        <f t="shared" ref="J224:M224" si="96">SUM(J225:J237)</f>
        <v>468259</v>
      </c>
      <c r="K224" s="285">
        <f t="shared" si="96"/>
        <v>1100</v>
      </c>
      <c r="L224" s="285">
        <f t="shared" si="96"/>
        <v>1100</v>
      </c>
      <c r="M224" s="285">
        <f t="shared" si="96"/>
        <v>423142</v>
      </c>
      <c r="N224" s="285">
        <f t="shared" ref="N224:V224" si="97">SUM(N225:N237)</f>
        <v>340899</v>
      </c>
      <c r="O224" s="285">
        <f t="shared" si="97"/>
        <v>0</v>
      </c>
      <c r="P224" s="285">
        <f t="shared" si="97"/>
        <v>72300</v>
      </c>
      <c r="Q224" s="285">
        <f t="shared" si="97"/>
        <v>40803</v>
      </c>
      <c r="R224" s="285">
        <f t="shared" si="97"/>
        <v>64061</v>
      </c>
      <c r="S224" s="285">
        <f t="shared" si="97"/>
        <v>163735</v>
      </c>
      <c r="T224" s="285">
        <f t="shared" si="97"/>
        <v>0</v>
      </c>
      <c r="U224" s="285">
        <f t="shared" si="97"/>
        <v>82243</v>
      </c>
      <c r="V224" s="285">
        <f t="shared" si="97"/>
        <v>340899</v>
      </c>
      <c r="W224" s="308"/>
      <c r="Y224" s="308"/>
      <c r="Z224" s="308"/>
      <c r="AA224" s="308"/>
      <c r="AB224" s="308"/>
    </row>
    <row r="225" spans="1:28" s="268" customFormat="1" ht="96" customHeight="1">
      <c r="A225" s="260">
        <v>1</v>
      </c>
      <c r="B225" s="273" t="s">
        <v>180</v>
      </c>
      <c r="C225" s="262" t="s">
        <v>38</v>
      </c>
      <c r="D225" s="260" t="s">
        <v>242</v>
      </c>
      <c r="E225" s="274">
        <v>2021</v>
      </c>
      <c r="F225" s="274">
        <v>2024</v>
      </c>
      <c r="G225" s="260" t="s">
        <v>275</v>
      </c>
      <c r="H225" s="275" t="s">
        <v>977</v>
      </c>
      <c r="I225" s="276">
        <v>1300000</v>
      </c>
      <c r="J225" s="276">
        <f>I225-980000</f>
        <v>320000</v>
      </c>
      <c r="K225" s="276"/>
      <c r="L225" s="276"/>
      <c r="M225" s="276">
        <v>278474</v>
      </c>
      <c r="N225" s="276">
        <f t="shared" si="91"/>
        <v>198230</v>
      </c>
      <c r="O225" s="276"/>
      <c r="P225" s="276">
        <v>24000</v>
      </c>
      <c r="Q225" s="276">
        <v>4960</v>
      </c>
      <c r="R225" s="276">
        <v>6795</v>
      </c>
      <c r="S225" s="296">
        <v>162475</v>
      </c>
      <c r="T225" s="276">
        <f t="shared" si="92"/>
        <v>0</v>
      </c>
      <c r="U225" s="276">
        <f t="shared" si="93"/>
        <v>80244</v>
      </c>
      <c r="V225" s="296">
        <v>198230</v>
      </c>
      <c r="W225" s="259"/>
      <c r="Y225" s="259"/>
      <c r="Z225" s="259">
        <v>1</v>
      </c>
      <c r="AA225" s="259"/>
      <c r="AB225" s="259"/>
    </row>
    <row r="226" spans="1:28" s="268" customFormat="1" ht="52.5" customHeight="1">
      <c r="A226" s="260">
        <v>2</v>
      </c>
      <c r="B226" s="309" t="s">
        <v>522</v>
      </c>
      <c r="C226" s="262" t="s">
        <v>39</v>
      </c>
      <c r="D226" s="260" t="s">
        <v>625</v>
      </c>
      <c r="E226" s="274">
        <v>2022</v>
      </c>
      <c r="F226" s="274">
        <v>2023</v>
      </c>
      <c r="G226" s="294" t="s">
        <v>745</v>
      </c>
      <c r="H226" s="275" t="s">
        <v>746</v>
      </c>
      <c r="I226" s="295">
        <v>22000</v>
      </c>
      <c r="J226" s="295">
        <v>7000</v>
      </c>
      <c r="K226" s="295">
        <v>200</v>
      </c>
      <c r="L226" s="295">
        <v>200</v>
      </c>
      <c r="M226" s="295">
        <v>6800</v>
      </c>
      <c r="N226" s="276">
        <f t="shared" si="91"/>
        <v>6400</v>
      </c>
      <c r="O226" s="276"/>
      <c r="P226" s="276">
        <v>3000</v>
      </c>
      <c r="Q226" s="276">
        <v>3400</v>
      </c>
      <c r="R226" s="276"/>
      <c r="S226" s="296"/>
      <c r="T226" s="276">
        <f t="shared" si="92"/>
        <v>0</v>
      </c>
      <c r="U226" s="276">
        <f t="shared" si="93"/>
        <v>400</v>
      </c>
      <c r="V226" s="296">
        <v>6400</v>
      </c>
      <c r="W226" s="259"/>
      <c r="Y226" s="259"/>
      <c r="Z226" s="259">
        <v>1</v>
      </c>
      <c r="AA226" s="259"/>
      <c r="AB226" s="259"/>
    </row>
    <row r="227" spans="1:28" s="268" customFormat="1" ht="66" customHeight="1">
      <c r="A227" s="260">
        <v>3</v>
      </c>
      <c r="B227" s="273" t="s">
        <v>523</v>
      </c>
      <c r="C227" s="262" t="s">
        <v>39</v>
      </c>
      <c r="D227" s="260" t="s">
        <v>633</v>
      </c>
      <c r="E227" s="274">
        <v>2021</v>
      </c>
      <c r="F227" s="274">
        <v>2023</v>
      </c>
      <c r="G227" s="260" t="s">
        <v>747</v>
      </c>
      <c r="H227" s="275" t="s">
        <v>748</v>
      </c>
      <c r="I227" s="276">
        <v>19000</v>
      </c>
      <c r="J227" s="276">
        <v>10500</v>
      </c>
      <c r="K227" s="276"/>
      <c r="L227" s="276"/>
      <c r="M227" s="276">
        <v>10160</v>
      </c>
      <c r="N227" s="276">
        <f t="shared" si="91"/>
        <v>10160</v>
      </c>
      <c r="O227" s="276"/>
      <c r="P227" s="276">
        <v>6561</v>
      </c>
      <c r="Q227" s="276">
        <v>3500</v>
      </c>
      <c r="R227" s="276">
        <v>99</v>
      </c>
      <c r="S227" s="296"/>
      <c r="T227" s="276">
        <f t="shared" si="92"/>
        <v>0</v>
      </c>
      <c r="U227" s="276">
        <f t="shared" si="93"/>
        <v>0</v>
      </c>
      <c r="V227" s="296">
        <v>10160</v>
      </c>
      <c r="W227" s="259"/>
      <c r="Y227" s="259"/>
      <c r="Z227" s="259">
        <v>1</v>
      </c>
      <c r="AA227" s="259"/>
      <c r="AB227" s="259"/>
    </row>
    <row r="228" spans="1:28" s="268" customFormat="1" ht="56.25" customHeight="1">
      <c r="A228" s="260">
        <v>4</v>
      </c>
      <c r="B228" s="273" t="s">
        <v>524</v>
      </c>
      <c r="C228" s="262" t="s">
        <v>39</v>
      </c>
      <c r="D228" s="260" t="s">
        <v>633</v>
      </c>
      <c r="E228" s="274">
        <v>2021</v>
      </c>
      <c r="F228" s="274">
        <v>2023</v>
      </c>
      <c r="G228" s="260" t="s">
        <v>749</v>
      </c>
      <c r="H228" s="275" t="s">
        <v>750</v>
      </c>
      <c r="I228" s="276">
        <v>13600</v>
      </c>
      <c r="J228" s="276">
        <v>3800</v>
      </c>
      <c r="K228" s="276"/>
      <c r="L228" s="276"/>
      <c r="M228" s="276">
        <v>3353</v>
      </c>
      <c r="N228" s="276">
        <f t="shared" si="91"/>
        <v>3353</v>
      </c>
      <c r="O228" s="276"/>
      <c r="P228" s="276">
        <v>239</v>
      </c>
      <c r="Q228" s="276">
        <v>990</v>
      </c>
      <c r="R228" s="276">
        <v>2124</v>
      </c>
      <c r="S228" s="296"/>
      <c r="T228" s="276">
        <f t="shared" si="92"/>
        <v>0</v>
      </c>
      <c r="U228" s="276">
        <f t="shared" si="93"/>
        <v>0</v>
      </c>
      <c r="V228" s="296">
        <v>3353</v>
      </c>
      <c r="W228" s="259"/>
      <c r="Y228" s="259"/>
      <c r="Z228" s="259">
        <v>1</v>
      </c>
      <c r="AA228" s="259"/>
      <c r="AB228" s="259"/>
    </row>
    <row r="229" spans="1:28" s="268" customFormat="1" ht="56.25" customHeight="1">
      <c r="A229" s="260">
        <v>5</v>
      </c>
      <c r="B229" s="316" t="s">
        <v>525</v>
      </c>
      <c r="C229" s="262" t="s">
        <v>39</v>
      </c>
      <c r="D229" s="294" t="s">
        <v>630</v>
      </c>
      <c r="E229" s="274">
        <v>2021</v>
      </c>
      <c r="F229" s="274">
        <v>2023</v>
      </c>
      <c r="G229" s="260" t="s">
        <v>751</v>
      </c>
      <c r="H229" s="275" t="s">
        <v>752</v>
      </c>
      <c r="I229" s="295">
        <v>14000</v>
      </c>
      <c r="J229" s="295">
        <v>10100</v>
      </c>
      <c r="K229" s="295">
        <v>100</v>
      </c>
      <c r="L229" s="295">
        <v>100</v>
      </c>
      <c r="M229" s="295">
        <v>10000</v>
      </c>
      <c r="N229" s="276">
        <f t="shared" si="91"/>
        <v>10000</v>
      </c>
      <c r="O229" s="276"/>
      <c r="P229" s="276">
        <v>7000</v>
      </c>
      <c r="Q229" s="276">
        <v>2500</v>
      </c>
      <c r="R229" s="276">
        <v>500</v>
      </c>
      <c r="S229" s="296"/>
      <c r="T229" s="276">
        <f t="shared" si="92"/>
        <v>0</v>
      </c>
      <c r="U229" s="276">
        <f t="shared" si="93"/>
        <v>0</v>
      </c>
      <c r="V229" s="296">
        <v>10000</v>
      </c>
      <c r="W229" s="259"/>
      <c r="Y229" s="259"/>
      <c r="Z229" s="259">
        <v>1</v>
      </c>
      <c r="AA229" s="259"/>
      <c r="AB229" s="259"/>
    </row>
    <row r="230" spans="1:28" s="268" customFormat="1" ht="59.25" customHeight="1">
      <c r="A230" s="260">
        <v>6</v>
      </c>
      <c r="B230" s="316" t="s">
        <v>526</v>
      </c>
      <c r="C230" s="262" t="s">
        <v>39</v>
      </c>
      <c r="D230" s="294" t="s">
        <v>630</v>
      </c>
      <c r="E230" s="274">
        <v>2021</v>
      </c>
      <c r="F230" s="274">
        <v>2023</v>
      </c>
      <c r="G230" s="260" t="s">
        <v>753</v>
      </c>
      <c r="H230" s="275" t="s">
        <v>754</v>
      </c>
      <c r="I230" s="295">
        <v>12000</v>
      </c>
      <c r="J230" s="295">
        <v>7000</v>
      </c>
      <c r="K230" s="295">
        <v>200</v>
      </c>
      <c r="L230" s="295">
        <v>200</v>
      </c>
      <c r="M230" s="295">
        <v>6800</v>
      </c>
      <c r="N230" s="276">
        <f t="shared" si="91"/>
        <v>6800</v>
      </c>
      <c r="O230" s="276"/>
      <c r="P230" s="276">
        <v>6800</v>
      </c>
      <c r="Q230" s="276"/>
      <c r="R230" s="276"/>
      <c r="S230" s="296"/>
      <c r="T230" s="276">
        <f t="shared" si="92"/>
        <v>0</v>
      </c>
      <c r="U230" s="276">
        <f t="shared" si="93"/>
        <v>0</v>
      </c>
      <c r="V230" s="296">
        <v>6800</v>
      </c>
      <c r="W230" s="259"/>
      <c r="Y230" s="259"/>
      <c r="Z230" s="259">
        <v>1</v>
      </c>
      <c r="AA230" s="259"/>
      <c r="AB230" s="259"/>
    </row>
    <row r="231" spans="1:28" s="268" customFormat="1" ht="60" customHeight="1">
      <c r="A231" s="260">
        <v>7</v>
      </c>
      <c r="B231" s="309" t="s">
        <v>527</v>
      </c>
      <c r="C231" s="262" t="s">
        <v>39</v>
      </c>
      <c r="D231" s="294" t="s">
        <v>628</v>
      </c>
      <c r="E231" s="274">
        <v>2022</v>
      </c>
      <c r="F231" s="274">
        <v>2024</v>
      </c>
      <c r="G231" s="260" t="s">
        <v>755</v>
      </c>
      <c r="H231" s="275" t="s">
        <v>756</v>
      </c>
      <c r="I231" s="295">
        <v>13000</v>
      </c>
      <c r="J231" s="295">
        <v>13000</v>
      </c>
      <c r="K231" s="295">
        <v>200</v>
      </c>
      <c r="L231" s="295">
        <v>200</v>
      </c>
      <c r="M231" s="295">
        <v>12775</v>
      </c>
      <c r="N231" s="276">
        <f t="shared" si="91"/>
        <v>12775</v>
      </c>
      <c r="O231" s="276"/>
      <c r="P231" s="276">
        <v>5000</v>
      </c>
      <c r="Q231" s="276">
        <v>5732</v>
      </c>
      <c r="R231" s="276">
        <v>2043</v>
      </c>
      <c r="S231" s="296"/>
      <c r="T231" s="276">
        <f t="shared" si="92"/>
        <v>0</v>
      </c>
      <c r="U231" s="276">
        <f t="shared" si="93"/>
        <v>0</v>
      </c>
      <c r="V231" s="296">
        <v>12775</v>
      </c>
      <c r="W231" s="259"/>
      <c r="Y231" s="259"/>
      <c r="Z231" s="259">
        <v>1</v>
      </c>
      <c r="AA231" s="259"/>
      <c r="AB231" s="259"/>
    </row>
    <row r="232" spans="1:28" s="268" customFormat="1" ht="60" customHeight="1">
      <c r="A232" s="260">
        <v>8</v>
      </c>
      <c r="B232" s="317" t="s">
        <v>528</v>
      </c>
      <c r="C232" s="262" t="s">
        <v>39</v>
      </c>
      <c r="D232" s="294" t="s">
        <v>628</v>
      </c>
      <c r="E232" s="274">
        <v>2021</v>
      </c>
      <c r="F232" s="274">
        <v>2023</v>
      </c>
      <c r="G232" s="260" t="s">
        <v>757</v>
      </c>
      <c r="H232" s="275" t="s">
        <v>758</v>
      </c>
      <c r="I232" s="295">
        <v>10000</v>
      </c>
      <c r="J232" s="295">
        <v>6400</v>
      </c>
      <c r="K232" s="295">
        <v>100</v>
      </c>
      <c r="L232" s="295">
        <v>100</v>
      </c>
      <c r="M232" s="295">
        <v>5869</v>
      </c>
      <c r="N232" s="276">
        <f t="shared" si="91"/>
        <v>5869</v>
      </c>
      <c r="O232" s="276"/>
      <c r="P232" s="276">
        <v>3000</v>
      </c>
      <c r="Q232" s="276">
        <v>2869</v>
      </c>
      <c r="R232" s="276"/>
      <c r="S232" s="296"/>
      <c r="T232" s="276">
        <f t="shared" si="92"/>
        <v>0</v>
      </c>
      <c r="U232" s="276">
        <f t="shared" si="93"/>
        <v>0</v>
      </c>
      <c r="V232" s="296">
        <v>5869</v>
      </c>
      <c r="W232" s="259"/>
      <c r="Y232" s="259"/>
      <c r="Z232" s="259">
        <v>1</v>
      </c>
      <c r="AA232" s="259"/>
      <c r="AB232" s="259"/>
    </row>
    <row r="233" spans="1:28" s="268" customFormat="1" ht="60" customHeight="1">
      <c r="A233" s="260">
        <v>9</v>
      </c>
      <c r="B233" s="317" t="s">
        <v>529</v>
      </c>
      <c r="C233" s="262" t="s">
        <v>39</v>
      </c>
      <c r="D233" s="294" t="s">
        <v>628</v>
      </c>
      <c r="E233" s="274">
        <v>2021</v>
      </c>
      <c r="F233" s="274">
        <v>2023</v>
      </c>
      <c r="G233" s="260" t="s">
        <v>759</v>
      </c>
      <c r="H233" s="275" t="s">
        <v>760</v>
      </c>
      <c r="I233" s="295">
        <v>14000</v>
      </c>
      <c r="J233" s="295">
        <v>9000</v>
      </c>
      <c r="K233" s="295">
        <v>100</v>
      </c>
      <c r="L233" s="295">
        <v>100</v>
      </c>
      <c r="M233" s="295">
        <v>8099</v>
      </c>
      <c r="N233" s="276">
        <f t="shared" si="91"/>
        <v>8099</v>
      </c>
      <c r="O233" s="276"/>
      <c r="P233" s="276">
        <v>7000</v>
      </c>
      <c r="Q233" s="276">
        <v>1099</v>
      </c>
      <c r="R233" s="276"/>
      <c r="S233" s="296"/>
      <c r="T233" s="276">
        <f t="shared" si="92"/>
        <v>0</v>
      </c>
      <c r="U233" s="276">
        <f t="shared" si="93"/>
        <v>0</v>
      </c>
      <c r="V233" s="296">
        <v>8099</v>
      </c>
      <c r="W233" s="259"/>
      <c r="Y233" s="259"/>
      <c r="Z233" s="259">
        <v>1</v>
      </c>
      <c r="AA233" s="259"/>
      <c r="AB233" s="259"/>
    </row>
    <row r="234" spans="1:28" s="268" customFormat="1" ht="60" customHeight="1">
      <c r="A234" s="260">
        <v>10</v>
      </c>
      <c r="B234" s="309" t="s">
        <v>530</v>
      </c>
      <c r="C234" s="262" t="s">
        <v>39</v>
      </c>
      <c r="D234" s="294" t="s">
        <v>631</v>
      </c>
      <c r="E234" s="274">
        <v>2021</v>
      </c>
      <c r="F234" s="274">
        <v>2023</v>
      </c>
      <c r="G234" s="260" t="s">
        <v>761</v>
      </c>
      <c r="H234" s="275" t="s">
        <v>762</v>
      </c>
      <c r="I234" s="295">
        <v>39900</v>
      </c>
      <c r="J234" s="295">
        <f>I234-28000</f>
        <v>11900</v>
      </c>
      <c r="K234" s="295">
        <v>200</v>
      </c>
      <c r="L234" s="295">
        <v>200</v>
      </c>
      <c r="M234" s="295">
        <v>11253</v>
      </c>
      <c r="N234" s="276">
        <f t="shared" si="91"/>
        <v>11253</v>
      </c>
      <c r="O234" s="276"/>
      <c r="P234" s="276">
        <v>9500</v>
      </c>
      <c r="Q234" s="276">
        <v>1753</v>
      </c>
      <c r="R234" s="276"/>
      <c r="S234" s="296"/>
      <c r="T234" s="276">
        <f t="shared" si="92"/>
        <v>0</v>
      </c>
      <c r="U234" s="276">
        <f t="shared" si="93"/>
        <v>0</v>
      </c>
      <c r="V234" s="296">
        <v>11253</v>
      </c>
      <c r="W234" s="259"/>
      <c r="Y234" s="259"/>
      <c r="Z234" s="259">
        <v>1</v>
      </c>
      <c r="AA234" s="259"/>
      <c r="AB234" s="259"/>
    </row>
    <row r="235" spans="1:28" s="268" customFormat="1" ht="64.900000000000006" customHeight="1">
      <c r="A235" s="260">
        <v>11</v>
      </c>
      <c r="B235" s="309" t="s">
        <v>1021</v>
      </c>
      <c r="C235" s="262" t="s">
        <v>39</v>
      </c>
      <c r="D235" s="294"/>
      <c r="E235" s="274"/>
      <c r="F235" s="274"/>
      <c r="G235" s="260"/>
      <c r="H235" s="275" t="s">
        <v>976</v>
      </c>
      <c r="I235" s="295">
        <v>35000</v>
      </c>
      <c r="J235" s="295">
        <v>6459</v>
      </c>
      <c r="K235" s="295"/>
      <c r="L235" s="295"/>
      <c r="M235" s="295">
        <v>6459</v>
      </c>
      <c r="N235" s="276">
        <f t="shared" si="91"/>
        <v>5260</v>
      </c>
      <c r="O235" s="276"/>
      <c r="P235" s="276"/>
      <c r="Q235" s="276"/>
      <c r="R235" s="276">
        <v>4500</v>
      </c>
      <c r="S235" s="296">
        <v>760</v>
      </c>
      <c r="T235" s="276">
        <f t="shared" si="92"/>
        <v>0</v>
      </c>
      <c r="U235" s="276">
        <f t="shared" si="93"/>
        <v>1199</v>
      </c>
      <c r="V235" s="296">
        <v>5260</v>
      </c>
      <c r="W235" s="259" t="s">
        <v>2004</v>
      </c>
      <c r="Y235" s="259"/>
      <c r="Z235" s="259">
        <v>1</v>
      </c>
      <c r="AA235" s="259"/>
      <c r="AB235" s="259"/>
    </row>
    <row r="236" spans="1:28" s="268" customFormat="1" ht="30.4" customHeight="1">
      <c r="A236" s="260">
        <v>12</v>
      </c>
      <c r="B236" s="273" t="s">
        <v>535</v>
      </c>
      <c r="C236" s="262" t="s">
        <v>39</v>
      </c>
      <c r="D236" s="260" t="s">
        <v>230</v>
      </c>
      <c r="E236" s="274">
        <v>2023</v>
      </c>
      <c r="F236" s="274">
        <v>2025</v>
      </c>
      <c r="G236" s="260" t="s">
        <v>765</v>
      </c>
      <c r="H236" s="275" t="s">
        <v>766</v>
      </c>
      <c r="I236" s="276">
        <v>39000</v>
      </c>
      <c r="J236" s="276">
        <v>39000</v>
      </c>
      <c r="K236" s="276"/>
      <c r="L236" s="276"/>
      <c r="M236" s="276">
        <v>39000</v>
      </c>
      <c r="N236" s="276">
        <f t="shared" si="91"/>
        <v>38600</v>
      </c>
      <c r="O236" s="276"/>
      <c r="P236" s="276">
        <v>200</v>
      </c>
      <c r="Q236" s="276">
        <v>14000</v>
      </c>
      <c r="R236" s="276">
        <v>24000</v>
      </c>
      <c r="S236" s="296">
        <v>400</v>
      </c>
      <c r="T236" s="276">
        <f t="shared" si="92"/>
        <v>0</v>
      </c>
      <c r="U236" s="276">
        <f t="shared" si="93"/>
        <v>400</v>
      </c>
      <c r="V236" s="296">
        <v>38600</v>
      </c>
      <c r="W236" s="546" t="s">
        <v>1099</v>
      </c>
      <c r="Y236" s="259"/>
      <c r="Z236" s="259">
        <v>1</v>
      </c>
      <c r="AA236" s="259"/>
      <c r="AB236" s="259"/>
    </row>
    <row r="237" spans="1:28" s="268" customFormat="1" ht="40.5" customHeight="1">
      <c r="A237" s="260">
        <v>13</v>
      </c>
      <c r="B237" s="273" t="s">
        <v>532</v>
      </c>
      <c r="C237" s="262" t="s">
        <v>39</v>
      </c>
      <c r="D237" s="260" t="s">
        <v>627</v>
      </c>
      <c r="E237" s="274">
        <v>2023</v>
      </c>
      <c r="F237" s="274">
        <v>2025</v>
      </c>
      <c r="G237" s="260" t="s">
        <v>763</v>
      </c>
      <c r="H237" s="275" t="s">
        <v>764</v>
      </c>
      <c r="I237" s="276">
        <v>35000</v>
      </c>
      <c r="J237" s="276">
        <v>24100</v>
      </c>
      <c r="K237" s="276"/>
      <c r="L237" s="276"/>
      <c r="M237" s="276">
        <v>24100</v>
      </c>
      <c r="N237" s="276">
        <f t="shared" si="91"/>
        <v>24100</v>
      </c>
      <c r="O237" s="276"/>
      <c r="P237" s="276"/>
      <c r="Q237" s="276"/>
      <c r="R237" s="276">
        <v>24000</v>
      </c>
      <c r="S237" s="296">
        <v>100</v>
      </c>
      <c r="T237" s="276">
        <f t="shared" si="92"/>
        <v>0</v>
      </c>
      <c r="U237" s="276">
        <f t="shared" si="93"/>
        <v>0</v>
      </c>
      <c r="V237" s="296">
        <v>24100</v>
      </c>
      <c r="W237" s="259"/>
      <c r="Y237" s="259"/>
      <c r="Z237" s="259">
        <v>1</v>
      </c>
      <c r="AA237" s="259"/>
      <c r="AB237" s="259"/>
    </row>
    <row r="238" spans="1:28" s="288" customFormat="1" ht="31.5" customHeight="1">
      <c r="A238" s="279" t="s">
        <v>97</v>
      </c>
      <c r="B238" s="280" t="s">
        <v>98</v>
      </c>
      <c r="C238" s="281"/>
      <c r="D238" s="310"/>
      <c r="E238" s="283"/>
      <c r="F238" s="283"/>
      <c r="G238" s="282"/>
      <c r="H238" s="284"/>
      <c r="I238" s="311">
        <f>SUM(I239:I241)</f>
        <v>160000</v>
      </c>
      <c r="J238" s="311">
        <f t="shared" ref="J238:V238" si="98">SUM(J239:J241)</f>
        <v>160000</v>
      </c>
      <c r="K238" s="311">
        <f t="shared" si="98"/>
        <v>0</v>
      </c>
      <c r="L238" s="311">
        <f t="shared" si="98"/>
        <v>0</v>
      </c>
      <c r="M238" s="311">
        <f t="shared" si="98"/>
        <v>5850</v>
      </c>
      <c r="N238" s="311">
        <f t="shared" si="98"/>
        <v>1400</v>
      </c>
      <c r="O238" s="311">
        <f t="shared" si="98"/>
        <v>0</v>
      </c>
      <c r="P238" s="311">
        <f t="shared" si="98"/>
        <v>200</v>
      </c>
      <c r="Q238" s="311">
        <f t="shared" si="98"/>
        <v>0</v>
      </c>
      <c r="R238" s="311">
        <f t="shared" si="98"/>
        <v>1000</v>
      </c>
      <c r="S238" s="311">
        <f t="shared" si="98"/>
        <v>200</v>
      </c>
      <c r="T238" s="311">
        <f t="shared" si="98"/>
        <v>0</v>
      </c>
      <c r="U238" s="311">
        <f t="shared" si="98"/>
        <v>4450</v>
      </c>
      <c r="V238" s="311">
        <f t="shared" si="98"/>
        <v>1400</v>
      </c>
      <c r="W238" s="287"/>
      <c r="Y238" s="287"/>
      <c r="Z238" s="287"/>
      <c r="AA238" s="287"/>
      <c r="AB238" s="287"/>
    </row>
    <row r="239" spans="1:28" s="268" customFormat="1" ht="62.65" customHeight="1">
      <c r="A239" s="260">
        <v>1</v>
      </c>
      <c r="B239" s="309" t="s">
        <v>531</v>
      </c>
      <c r="C239" s="262" t="s">
        <v>39</v>
      </c>
      <c r="D239" s="260"/>
      <c r="E239" s="274"/>
      <c r="F239" s="274"/>
      <c r="G239" s="260"/>
      <c r="H239" s="275"/>
      <c r="I239" s="276">
        <v>25000</v>
      </c>
      <c r="J239" s="276">
        <v>25000</v>
      </c>
      <c r="K239" s="276"/>
      <c r="L239" s="276"/>
      <c r="M239" s="276">
        <v>1000</v>
      </c>
      <c r="N239" s="276">
        <f t="shared" si="91"/>
        <v>400</v>
      </c>
      <c r="O239" s="295"/>
      <c r="P239" s="295">
        <v>200</v>
      </c>
      <c r="Q239" s="295"/>
      <c r="R239" s="295">
        <v>0</v>
      </c>
      <c r="S239" s="296">
        <v>200</v>
      </c>
      <c r="T239" s="276">
        <f t="shared" si="92"/>
        <v>0</v>
      </c>
      <c r="U239" s="276">
        <f t="shared" si="93"/>
        <v>600</v>
      </c>
      <c r="V239" s="296">
        <v>400</v>
      </c>
      <c r="W239" s="259"/>
      <c r="Y239" s="259"/>
      <c r="Z239" s="259"/>
      <c r="AA239" s="259">
        <v>1</v>
      </c>
      <c r="AB239" s="259"/>
    </row>
    <row r="240" spans="1:28" s="268" customFormat="1" ht="50.25" customHeight="1">
      <c r="A240" s="260">
        <v>2</v>
      </c>
      <c r="B240" s="273" t="s">
        <v>533</v>
      </c>
      <c r="C240" s="262" t="s">
        <v>38</v>
      </c>
      <c r="D240" s="260"/>
      <c r="E240" s="274"/>
      <c r="F240" s="274"/>
      <c r="G240" s="260"/>
      <c r="H240" s="275"/>
      <c r="I240" s="276">
        <v>115000</v>
      </c>
      <c r="J240" s="276">
        <v>115000</v>
      </c>
      <c r="K240" s="276"/>
      <c r="L240" s="276"/>
      <c r="M240" s="276">
        <v>1850</v>
      </c>
      <c r="N240" s="276">
        <f t="shared" si="91"/>
        <v>500</v>
      </c>
      <c r="O240" s="276"/>
      <c r="P240" s="276"/>
      <c r="Q240" s="276"/>
      <c r="R240" s="276">
        <v>500</v>
      </c>
      <c r="S240" s="296"/>
      <c r="T240" s="276">
        <f t="shared" si="92"/>
        <v>0</v>
      </c>
      <c r="U240" s="276">
        <f t="shared" si="93"/>
        <v>1350</v>
      </c>
      <c r="V240" s="296">
        <v>500</v>
      </c>
      <c r="W240" s="259"/>
      <c r="Y240" s="259"/>
      <c r="Z240" s="259"/>
      <c r="AA240" s="259">
        <v>1</v>
      </c>
      <c r="AB240" s="259"/>
    </row>
    <row r="241" spans="1:28" s="268" customFormat="1" ht="50.25" customHeight="1">
      <c r="A241" s="260">
        <v>3</v>
      </c>
      <c r="B241" s="273" t="s">
        <v>534</v>
      </c>
      <c r="C241" s="262" t="s">
        <v>39</v>
      </c>
      <c r="D241" s="260"/>
      <c r="E241" s="274"/>
      <c r="F241" s="274"/>
      <c r="G241" s="260"/>
      <c r="H241" s="275"/>
      <c r="I241" s="276">
        <v>20000</v>
      </c>
      <c r="J241" s="276">
        <v>20000</v>
      </c>
      <c r="K241" s="276"/>
      <c r="L241" s="276"/>
      <c r="M241" s="276">
        <v>3000</v>
      </c>
      <c r="N241" s="276">
        <f t="shared" si="91"/>
        <v>500</v>
      </c>
      <c r="O241" s="295"/>
      <c r="P241" s="295"/>
      <c r="Q241" s="295"/>
      <c r="R241" s="295">
        <v>500</v>
      </c>
      <c r="S241" s="296"/>
      <c r="T241" s="276">
        <f t="shared" si="92"/>
        <v>0</v>
      </c>
      <c r="U241" s="276">
        <f t="shared" si="93"/>
        <v>2500</v>
      </c>
      <c r="V241" s="296">
        <v>500</v>
      </c>
      <c r="W241" s="259"/>
      <c r="Y241" s="259"/>
      <c r="Z241" s="259"/>
      <c r="AA241" s="259">
        <v>1</v>
      </c>
      <c r="AB241" s="259"/>
    </row>
    <row r="242" spans="1:28" s="268" customFormat="1" ht="37.15" customHeight="1">
      <c r="A242" s="271" t="s">
        <v>350</v>
      </c>
      <c r="B242" s="290" t="s">
        <v>99</v>
      </c>
      <c r="C242" s="277"/>
      <c r="D242" s="261"/>
      <c r="E242" s="278"/>
      <c r="F242" s="278"/>
      <c r="G242" s="261"/>
      <c r="H242" s="263"/>
      <c r="I242" s="264">
        <f>SUM(I243:I246)</f>
        <v>820361</v>
      </c>
      <c r="J242" s="264">
        <f t="shared" ref="J242:V242" si="99">SUM(J243:J246)</f>
        <v>461580.5</v>
      </c>
      <c r="K242" s="264">
        <f t="shared" si="99"/>
        <v>0</v>
      </c>
      <c r="L242" s="264">
        <f t="shared" si="99"/>
        <v>0</v>
      </c>
      <c r="M242" s="264">
        <f t="shared" si="99"/>
        <v>5400</v>
      </c>
      <c r="N242" s="264">
        <f t="shared" si="99"/>
        <v>2200</v>
      </c>
      <c r="O242" s="264">
        <f t="shared" si="99"/>
        <v>0</v>
      </c>
      <c r="P242" s="264">
        <f t="shared" si="99"/>
        <v>0</v>
      </c>
      <c r="Q242" s="264">
        <f t="shared" si="99"/>
        <v>0</v>
      </c>
      <c r="R242" s="264">
        <f t="shared" si="99"/>
        <v>0</v>
      </c>
      <c r="S242" s="264">
        <f t="shared" si="99"/>
        <v>2200</v>
      </c>
      <c r="T242" s="264">
        <f t="shared" si="99"/>
        <v>0</v>
      </c>
      <c r="U242" s="264">
        <f t="shared" si="99"/>
        <v>3200</v>
      </c>
      <c r="V242" s="264">
        <f t="shared" si="99"/>
        <v>2200</v>
      </c>
      <c r="W242" s="267"/>
      <c r="Y242" s="267"/>
      <c r="Z242" s="267"/>
      <c r="AA242" s="267"/>
      <c r="AB242" s="267"/>
    </row>
    <row r="243" spans="1:28" s="268" customFormat="1" ht="61.15" customHeight="1">
      <c r="A243" s="260">
        <v>1</v>
      </c>
      <c r="B243" s="273" t="s">
        <v>1022</v>
      </c>
      <c r="C243" s="262"/>
      <c r="D243" s="260"/>
      <c r="E243" s="274"/>
      <c r="F243" s="274"/>
      <c r="G243" s="260"/>
      <c r="H243" s="275" t="s">
        <v>1081</v>
      </c>
      <c r="I243" s="276">
        <v>70000</v>
      </c>
      <c r="J243" s="276">
        <v>65000</v>
      </c>
      <c r="K243" s="276"/>
      <c r="L243" s="276"/>
      <c r="M243" s="276">
        <v>1900</v>
      </c>
      <c r="N243" s="276">
        <f t="shared" si="91"/>
        <v>500</v>
      </c>
      <c r="O243" s="295"/>
      <c r="P243" s="295"/>
      <c r="Q243" s="295"/>
      <c r="R243" s="295"/>
      <c r="S243" s="296">
        <v>500</v>
      </c>
      <c r="T243" s="276">
        <f t="shared" si="92"/>
        <v>0</v>
      </c>
      <c r="U243" s="276">
        <f t="shared" si="93"/>
        <v>1400</v>
      </c>
      <c r="V243" s="296">
        <v>500</v>
      </c>
      <c r="W243" s="259"/>
      <c r="Y243" s="259"/>
      <c r="Z243" s="259"/>
      <c r="AA243" s="259"/>
      <c r="AB243" s="259"/>
    </row>
    <row r="244" spans="1:28" s="268" customFormat="1" ht="50.25" customHeight="1">
      <c r="A244" s="260">
        <v>2</v>
      </c>
      <c r="B244" s="273" t="s">
        <v>1023</v>
      </c>
      <c r="C244" s="262"/>
      <c r="D244" s="260"/>
      <c r="E244" s="274"/>
      <c r="F244" s="274"/>
      <c r="G244" s="260"/>
      <c r="H244" s="275" t="s">
        <v>1025</v>
      </c>
      <c r="I244" s="276">
        <v>39900</v>
      </c>
      <c r="J244" s="276">
        <v>36900</v>
      </c>
      <c r="K244" s="276"/>
      <c r="L244" s="276"/>
      <c r="M244" s="276">
        <v>1500</v>
      </c>
      <c r="N244" s="276">
        <f t="shared" si="91"/>
        <v>500</v>
      </c>
      <c r="O244" s="295"/>
      <c r="P244" s="295"/>
      <c r="Q244" s="295"/>
      <c r="R244" s="295"/>
      <c r="S244" s="296">
        <v>500</v>
      </c>
      <c r="T244" s="276">
        <f t="shared" si="92"/>
        <v>0</v>
      </c>
      <c r="U244" s="276">
        <f t="shared" si="93"/>
        <v>1000</v>
      </c>
      <c r="V244" s="296">
        <v>500</v>
      </c>
      <c r="W244" s="259"/>
      <c r="Y244" s="259"/>
      <c r="Z244" s="259"/>
      <c r="AA244" s="259"/>
      <c r="AB244" s="259"/>
    </row>
    <row r="245" spans="1:28" s="268" customFormat="1" ht="50.45" customHeight="1">
      <c r="A245" s="260">
        <v>3</v>
      </c>
      <c r="B245" s="273" t="s">
        <v>1024</v>
      </c>
      <c r="C245" s="262"/>
      <c r="D245" s="260"/>
      <c r="E245" s="274"/>
      <c r="F245" s="274"/>
      <c r="G245" s="260"/>
      <c r="H245" s="275" t="s">
        <v>1026</v>
      </c>
      <c r="I245" s="276">
        <v>14900</v>
      </c>
      <c r="J245" s="276">
        <v>11900</v>
      </c>
      <c r="K245" s="276"/>
      <c r="L245" s="276"/>
      <c r="M245" s="276">
        <v>1000</v>
      </c>
      <c r="N245" s="276">
        <f t="shared" si="91"/>
        <v>200</v>
      </c>
      <c r="O245" s="295"/>
      <c r="P245" s="295"/>
      <c r="Q245" s="295"/>
      <c r="R245" s="295"/>
      <c r="S245" s="296">
        <v>200</v>
      </c>
      <c r="T245" s="276">
        <f t="shared" si="92"/>
        <v>0</v>
      </c>
      <c r="U245" s="276">
        <f t="shared" si="93"/>
        <v>800</v>
      </c>
      <c r="V245" s="296">
        <v>200</v>
      </c>
      <c r="W245" s="259"/>
      <c r="Y245" s="259"/>
      <c r="Z245" s="259"/>
      <c r="AA245" s="259"/>
      <c r="AB245" s="259"/>
    </row>
    <row r="246" spans="1:28" s="268" customFormat="1" ht="50.45" customHeight="1">
      <c r="A246" s="260">
        <v>4</v>
      </c>
      <c r="B246" s="273" t="s">
        <v>1027</v>
      </c>
      <c r="C246" s="262"/>
      <c r="D246" s="260"/>
      <c r="E246" s="274"/>
      <c r="F246" s="274"/>
      <c r="G246" s="260"/>
      <c r="H246" s="275" t="s">
        <v>1028</v>
      </c>
      <c r="I246" s="276">
        <v>695561</v>
      </c>
      <c r="J246" s="276">
        <v>347780.5</v>
      </c>
      <c r="K246" s="276"/>
      <c r="L246" s="276"/>
      <c r="M246" s="276">
        <v>1000</v>
      </c>
      <c r="N246" s="276">
        <f t="shared" si="91"/>
        <v>1000</v>
      </c>
      <c r="O246" s="295"/>
      <c r="P246" s="295"/>
      <c r="Q246" s="295"/>
      <c r="R246" s="295"/>
      <c r="S246" s="296">
        <v>1000</v>
      </c>
      <c r="T246" s="276">
        <f t="shared" si="92"/>
        <v>0</v>
      </c>
      <c r="U246" s="276">
        <f t="shared" si="93"/>
        <v>0</v>
      </c>
      <c r="V246" s="296">
        <v>1000</v>
      </c>
      <c r="W246" s="259"/>
      <c r="Y246" s="259"/>
      <c r="Z246" s="259"/>
      <c r="AA246" s="259"/>
      <c r="AB246" s="259"/>
    </row>
    <row r="247" spans="1:28" s="268" customFormat="1" ht="19.5" customHeight="1">
      <c r="A247" s="261" t="s">
        <v>358</v>
      </c>
      <c r="B247" s="290" t="s">
        <v>536</v>
      </c>
      <c r="C247" s="262"/>
      <c r="D247" s="261"/>
      <c r="E247" s="274"/>
      <c r="F247" s="274"/>
      <c r="G247" s="261"/>
      <c r="H247" s="263"/>
      <c r="I247" s="264"/>
      <c r="J247" s="264"/>
      <c r="K247" s="264"/>
      <c r="L247" s="264"/>
      <c r="M247" s="264"/>
      <c r="N247" s="276">
        <f t="shared" si="91"/>
        <v>0</v>
      </c>
      <c r="O247" s="264"/>
      <c r="P247" s="264"/>
      <c r="Q247" s="264"/>
      <c r="R247" s="264"/>
      <c r="S247" s="296"/>
      <c r="T247" s="276">
        <f t="shared" si="92"/>
        <v>0</v>
      </c>
      <c r="U247" s="276">
        <f t="shared" si="93"/>
        <v>0</v>
      </c>
      <c r="V247" s="296">
        <v>0</v>
      </c>
      <c r="W247" s="259"/>
      <c r="Y247" s="259"/>
      <c r="Z247" s="259"/>
      <c r="AA247" s="259"/>
      <c r="AB247" s="259"/>
    </row>
    <row r="248" spans="1:28" s="268" customFormat="1" ht="19.5" customHeight="1">
      <c r="A248" s="261" t="s">
        <v>359</v>
      </c>
      <c r="B248" s="290" t="s">
        <v>537</v>
      </c>
      <c r="C248" s="262"/>
      <c r="D248" s="261"/>
      <c r="E248" s="274"/>
      <c r="F248" s="274"/>
      <c r="G248" s="261"/>
      <c r="H248" s="263"/>
      <c r="I248" s="264">
        <f>I249</f>
        <v>14500</v>
      </c>
      <c r="J248" s="264">
        <f t="shared" ref="J248:V250" si="100">J249</f>
        <v>14500</v>
      </c>
      <c r="K248" s="264">
        <f t="shared" si="100"/>
        <v>0</v>
      </c>
      <c r="L248" s="264">
        <f t="shared" si="100"/>
        <v>0</v>
      </c>
      <c r="M248" s="264">
        <f t="shared" si="100"/>
        <v>5000</v>
      </c>
      <c r="N248" s="264">
        <f t="shared" si="100"/>
        <v>5506</v>
      </c>
      <c r="O248" s="264">
        <f t="shared" si="100"/>
        <v>0</v>
      </c>
      <c r="P248" s="264">
        <f t="shared" si="100"/>
        <v>0</v>
      </c>
      <c r="Q248" s="264">
        <f t="shared" si="100"/>
        <v>0</v>
      </c>
      <c r="R248" s="264">
        <f t="shared" si="100"/>
        <v>1000</v>
      </c>
      <c r="S248" s="264">
        <f t="shared" si="100"/>
        <v>4506</v>
      </c>
      <c r="T248" s="264">
        <f t="shared" si="100"/>
        <v>506</v>
      </c>
      <c r="U248" s="264">
        <f t="shared" si="100"/>
        <v>0</v>
      </c>
      <c r="V248" s="264">
        <f t="shared" si="100"/>
        <v>5506</v>
      </c>
      <c r="W248" s="259"/>
      <c r="Y248" s="259"/>
      <c r="Z248" s="259"/>
      <c r="AA248" s="259"/>
      <c r="AB248" s="259"/>
    </row>
    <row r="249" spans="1:28" s="268" customFormat="1" ht="36.75" customHeight="1">
      <c r="A249" s="261" t="s">
        <v>408</v>
      </c>
      <c r="B249" s="290" t="s">
        <v>36</v>
      </c>
      <c r="C249" s="262"/>
      <c r="D249" s="261"/>
      <c r="E249" s="274"/>
      <c r="F249" s="274"/>
      <c r="G249" s="261"/>
      <c r="H249" s="263"/>
      <c r="I249" s="264">
        <f>I250</f>
        <v>14500</v>
      </c>
      <c r="J249" s="264">
        <f t="shared" si="100"/>
        <v>14500</v>
      </c>
      <c r="K249" s="264">
        <f t="shared" si="100"/>
        <v>0</v>
      </c>
      <c r="L249" s="264">
        <f t="shared" si="100"/>
        <v>0</v>
      </c>
      <c r="M249" s="264">
        <f t="shared" si="100"/>
        <v>5000</v>
      </c>
      <c r="N249" s="264">
        <f t="shared" ref="N249:V250" si="101">N250</f>
        <v>5506</v>
      </c>
      <c r="O249" s="264">
        <f t="shared" si="101"/>
        <v>0</v>
      </c>
      <c r="P249" s="264">
        <f t="shared" si="101"/>
        <v>0</v>
      </c>
      <c r="Q249" s="264">
        <f t="shared" si="101"/>
        <v>0</v>
      </c>
      <c r="R249" s="264">
        <f t="shared" si="101"/>
        <v>1000</v>
      </c>
      <c r="S249" s="264">
        <f t="shared" si="101"/>
        <v>4506</v>
      </c>
      <c r="T249" s="264">
        <f t="shared" si="101"/>
        <v>506</v>
      </c>
      <c r="U249" s="264">
        <f t="shared" si="101"/>
        <v>0</v>
      </c>
      <c r="V249" s="264">
        <f t="shared" si="101"/>
        <v>5506</v>
      </c>
      <c r="W249" s="259"/>
      <c r="Y249" s="259"/>
      <c r="Z249" s="259"/>
      <c r="AA249" s="259"/>
      <c r="AB249" s="259"/>
    </row>
    <row r="250" spans="1:28" s="288" customFormat="1" ht="31.5" customHeight="1">
      <c r="A250" s="282" t="s">
        <v>96</v>
      </c>
      <c r="B250" s="280" t="s">
        <v>98</v>
      </c>
      <c r="C250" s="306"/>
      <c r="D250" s="282"/>
      <c r="E250" s="307"/>
      <c r="F250" s="307"/>
      <c r="G250" s="282"/>
      <c r="H250" s="284"/>
      <c r="I250" s="285">
        <f>I251</f>
        <v>14500</v>
      </c>
      <c r="J250" s="285">
        <f t="shared" si="100"/>
        <v>14500</v>
      </c>
      <c r="K250" s="285">
        <f t="shared" si="100"/>
        <v>0</v>
      </c>
      <c r="L250" s="285">
        <f t="shared" si="100"/>
        <v>0</v>
      </c>
      <c r="M250" s="285">
        <f t="shared" si="100"/>
        <v>5000</v>
      </c>
      <c r="N250" s="285">
        <f t="shared" si="101"/>
        <v>5506</v>
      </c>
      <c r="O250" s="285">
        <f t="shared" si="101"/>
        <v>0</v>
      </c>
      <c r="P250" s="285">
        <f t="shared" si="101"/>
        <v>0</v>
      </c>
      <c r="Q250" s="285">
        <f t="shared" si="101"/>
        <v>0</v>
      </c>
      <c r="R250" s="285">
        <f t="shared" si="101"/>
        <v>1000</v>
      </c>
      <c r="S250" s="285">
        <f t="shared" si="101"/>
        <v>4506</v>
      </c>
      <c r="T250" s="285">
        <f t="shared" si="101"/>
        <v>506</v>
      </c>
      <c r="U250" s="285">
        <f t="shared" si="101"/>
        <v>0</v>
      </c>
      <c r="V250" s="285">
        <f t="shared" si="101"/>
        <v>5506</v>
      </c>
      <c r="W250" s="308"/>
      <c r="Y250" s="308"/>
      <c r="Z250" s="308"/>
      <c r="AA250" s="308"/>
      <c r="AB250" s="308"/>
    </row>
    <row r="251" spans="1:28" s="298" customFormat="1" ht="34.5" customHeight="1">
      <c r="A251" s="260">
        <v>1</v>
      </c>
      <c r="B251" s="273" t="s">
        <v>624</v>
      </c>
      <c r="C251" s="262"/>
      <c r="D251" s="260"/>
      <c r="E251" s="274"/>
      <c r="F251" s="274"/>
      <c r="G251" s="260"/>
      <c r="H251" s="275" t="s">
        <v>1043</v>
      </c>
      <c r="I251" s="276">
        <v>14500</v>
      </c>
      <c r="J251" s="276">
        <v>14500</v>
      </c>
      <c r="K251" s="276"/>
      <c r="L251" s="276"/>
      <c r="M251" s="276">
        <v>5000</v>
      </c>
      <c r="N251" s="276">
        <f t="shared" si="91"/>
        <v>5506</v>
      </c>
      <c r="O251" s="276"/>
      <c r="P251" s="276"/>
      <c r="Q251" s="276"/>
      <c r="R251" s="276">
        <v>1000</v>
      </c>
      <c r="S251" s="296">
        <v>4506</v>
      </c>
      <c r="T251" s="276">
        <f t="shared" si="92"/>
        <v>506</v>
      </c>
      <c r="U251" s="276">
        <f t="shared" si="93"/>
        <v>0</v>
      </c>
      <c r="V251" s="296">
        <v>5506</v>
      </c>
      <c r="W251" s="259"/>
      <c r="Y251" s="259"/>
      <c r="Z251" s="259"/>
      <c r="AA251" s="259">
        <v>1</v>
      </c>
      <c r="AB251" s="259"/>
    </row>
    <row r="252" spans="1:28" s="268" customFormat="1" ht="23.25" customHeight="1">
      <c r="A252" s="261" t="s">
        <v>360</v>
      </c>
      <c r="B252" s="290" t="s">
        <v>192</v>
      </c>
      <c r="C252" s="262"/>
      <c r="D252" s="261"/>
      <c r="E252" s="274"/>
      <c r="F252" s="274"/>
      <c r="G252" s="261"/>
      <c r="H252" s="263"/>
      <c r="I252" s="264">
        <f>I253</f>
        <v>14500</v>
      </c>
      <c r="J252" s="264">
        <f t="shared" ref="J252:V254" si="102">J253</f>
        <v>14500</v>
      </c>
      <c r="K252" s="264">
        <f t="shared" si="102"/>
        <v>0</v>
      </c>
      <c r="L252" s="264">
        <f t="shared" si="102"/>
        <v>0</v>
      </c>
      <c r="M252" s="264">
        <f t="shared" si="102"/>
        <v>11795</v>
      </c>
      <c r="N252" s="264">
        <f t="shared" si="102"/>
        <v>11162</v>
      </c>
      <c r="O252" s="264">
        <f t="shared" si="102"/>
        <v>400</v>
      </c>
      <c r="P252" s="264">
        <f t="shared" si="102"/>
        <v>5439</v>
      </c>
      <c r="Q252" s="264">
        <f t="shared" si="102"/>
        <v>956</v>
      </c>
      <c r="R252" s="264">
        <f t="shared" si="102"/>
        <v>1000</v>
      </c>
      <c r="S252" s="264">
        <f t="shared" si="102"/>
        <v>3367</v>
      </c>
      <c r="T252" s="264">
        <f t="shared" si="102"/>
        <v>0</v>
      </c>
      <c r="U252" s="264">
        <f t="shared" si="102"/>
        <v>633</v>
      </c>
      <c r="V252" s="264">
        <f t="shared" si="102"/>
        <v>11162</v>
      </c>
      <c r="W252" s="259"/>
      <c r="Y252" s="259"/>
      <c r="Z252" s="259"/>
      <c r="AA252" s="259"/>
      <c r="AB252" s="259"/>
    </row>
    <row r="253" spans="1:28" s="268" customFormat="1" ht="41.25" customHeight="1">
      <c r="A253" s="271" t="s">
        <v>408</v>
      </c>
      <c r="B253" s="272" t="s">
        <v>36</v>
      </c>
      <c r="C253" s="262"/>
      <c r="D253" s="261"/>
      <c r="E253" s="274"/>
      <c r="F253" s="274"/>
      <c r="G253" s="261"/>
      <c r="H253" s="263"/>
      <c r="I253" s="264">
        <f>I254</f>
        <v>14500</v>
      </c>
      <c r="J253" s="264">
        <f t="shared" si="102"/>
        <v>14500</v>
      </c>
      <c r="K253" s="264">
        <f t="shared" si="102"/>
        <v>0</v>
      </c>
      <c r="L253" s="264">
        <f t="shared" si="102"/>
        <v>0</v>
      </c>
      <c r="M253" s="264">
        <f t="shared" si="102"/>
        <v>11795</v>
      </c>
      <c r="N253" s="264">
        <f t="shared" ref="N253:V254" si="103">N254</f>
        <v>11162</v>
      </c>
      <c r="O253" s="264">
        <f t="shared" si="103"/>
        <v>400</v>
      </c>
      <c r="P253" s="264">
        <f t="shared" si="103"/>
        <v>5439</v>
      </c>
      <c r="Q253" s="264">
        <f t="shared" si="103"/>
        <v>956</v>
      </c>
      <c r="R253" s="264">
        <f t="shared" si="103"/>
        <v>1000</v>
      </c>
      <c r="S253" s="264">
        <f t="shared" si="103"/>
        <v>3367</v>
      </c>
      <c r="T253" s="264">
        <f t="shared" si="103"/>
        <v>0</v>
      </c>
      <c r="U253" s="264">
        <f t="shared" si="103"/>
        <v>633</v>
      </c>
      <c r="V253" s="264">
        <f t="shared" si="103"/>
        <v>11162</v>
      </c>
      <c r="W253" s="259"/>
      <c r="Y253" s="259"/>
      <c r="Z253" s="259"/>
      <c r="AA253" s="259"/>
      <c r="AB253" s="259"/>
    </row>
    <row r="254" spans="1:28" s="288" customFormat="1" ht="44.25" customHeight="1">
      <c r="A254" s="279" t="s">
        <v>96</v>
      </c>
      <c r="B254" s="280" t="s">
        <v>123</v>
      </c>
      <c r="C254" s="306"/>
      <c r="D254" s="282"/>
      <c r="E254" s="307"/>
      <c r="F254" s="307"/>
      <c r="G254" s="282"/>
      <c r="H254" s="284"/>
      <c r="I254" s="285">
        <f>I255</f>
        <v>14500</v>
      </c>
      <c r="J254" s="285">
        <f t="shared" si="102"/>
        <v>14500</v>
      </c>
      <c r="K254" s="285">
        <f t="shared" si="102"/>
        <v>0</v>
      </c>
      <c r="L254" s="285">
        <f t="shared" si="102"/>
        <v>0</v>
      </c>
      <c r="M254" s="285">
        <f t="shared" si="102"/>
        <v>11795</v>
      </c>
      <c r="N254" s="285">
        <f t="shared" si="103"/>
        <v>11162</v>
      </c>
      <c r="O254" s="285">
        <f t="shared" si="103"/>
        <v>400</v>
      </c>
      <c r="P254" s="285">
        <f t="shared" si="103"/>
        <v>5439</v>
      </c>
      <c r="Q254" s="285">
        <f t="shared" si="103"/>
        <v>956</v>
      </c>
      <c r="R254" s="285">
        <f t="shared" si="103"/>
        <v>1000</v>
      </c>
      <c r="S254" s="285">
        <f t="shared" si="103"/>
        <v>3367</v>
      </c>
      <c r="T254" s="285">
        <f t="shared" si="103"/>
        <v>0</v>
      </c>
      <c r="U254" s="285">
        <f t="shared" si="103"/>
        <v>633</v>
      </c>
      <c r="V254" s="285">
        <f t="shared" si="103"/>
        <v>11162</v>
      </c>
      <c r="W254" s="308"/>
      <c r="Y254" s="308"/>
      <c r="Z254" s="308"/>
      <c r="AA254" s="308"/>
      <c r="AB254" s="308"/>
    </row>
    <row r="255" spans="1:28" s="268" customFormat="1" ht="46.15">
      <c r="A255" s="260">
        <v>1</v>
      </c>
      <c r="B255" s="273" t="s">
        <v>538</v>
      </c>
      <c r="C255" s="262" t="s">
        <v>39</v>
      </c>
      <c r="D255" s="260" t="s">
        <v>629</v>
      </c>
      <c r="E255" s="274">
        <v>2022</v>
      </c>
      <c r="F255" s="274">
        <v>2024</v>
      </c>
      <c r="G255" s="260" t="s">
        <v>767</v>
      </c>
      <c r="H255" s="275" t="s">
        <v>768</v>
      </c>
      <c r="I255" s="276">
        <v>14500</v>
      </c>
      <c r="J255" s="276">
        <v>14500</v>
      </c>
      <c r="K255" s="276"/>
      <c r="L255" s="276"/>
      <c r="M255" s="276">
        <v>11795</v>
      </c>
      <c r="N255" s="276">
        <f t="shared" si="91"/>
        <v>11162</v>
      </c>
      <c r="O255" s="276">
        <v>400</v>
      </c>
      <c r="P255" s="276">
        <v>5439</v>
      </c>
      <c r="Q255" s="276">
        <v>956</v>
      </c>
      <c r="R255" s="276">
        <v>1000</v>
      </c>
      <c r="S255" s="296">
        <v>3367</v>
      </c>
      <c r="T255" s="276">
        <f t="shared" si="92"/>
        <v>0</v>
      </c>
      <c r="U255" s="276">
        <f t="shared" si="93"/>
        <v>633</v>
      </c>
      <c r="V255" s="296">
        <v>11162</v>
      </c>
      <c r="W255" s="546" t="s">
        <v>1099</v>
      </c>
      <c r="Y255" s="259"/>
      <c r="Z255" s="259">
        <v>1</v>
      </c>
      <c r="AA255" s="259"/>
      <c r="AB255" s="259"/>
    </row>
    <row r="256" spans="1:28" s="268" customFormat="1" ht="21.4" customHeight="1">
      <c r="A256" s="261" t="s">
        <v>361</v>
      </c>
      <c r="B256" s="290" t="s">
        <v>539</v>
      </c>
      <c r="C256" s="262"/>
      <c r="D256" s="261"/>
      <c r="E256" s="274"/>
      <c r="F256" s="274"/>
      <c r="G256" s="261"/>
      <c r="H256" s="263"/>
      <c r="I256" s="264"/>
      <c r="J256" s="264"/>
      <c r="K256" s="264"/>
      <c r="L256" s="264"/>
      <c r="M256" s="264"/>
      <c r="N256" s="276">
        <f t="shared" si="91"/>
        <v>0</v>
      </c>
      <c r="O256" s="264"/>
      <c r="P256" s="264"/>
      <c r="Q256" s="264"/>
      <c r="R256" s="264"/>
      <c r="S256" s="296"/>
      <c r="T256" s="276">
        <f t="shared" si="92"/>
        <v>0</v>
      </c>
      <c r="U256" s="276">
        <f t="shared" si="93"/>
        <v>0</v>
      </c>
      <c r="V256" s="296">
        <v>0</v>
      </c>
      <c r="W256" s="259"/>
      <c r="Y256" s="259"/>
      <c r="Z256" s="259"/>
      <c r="AA256" s="259"/>
      <c r="AB256" s="259"/>
    </row>
    <row r="257" spans="1:28" s="268" customFormat="1" ht="21.4" customHeight="1">
      <c r="A257" s="261" t="s">
        <v>362</v>
      </c>
      <c r="B257" s="290" t="s">
        <v>540</v>
      </c>
      <c r="C257" s="262"/>
      <c r="D257" s="261"/>
      <c r="E257" s="274"/>
      <c r="F257" s="274"/>
      <c r="G257" s="261"/>
      <c r="H257" s="263"/>
      <c r="I257" s="264">
        <f>I258+I260</f>
        <v>77142</v>
      </c>
      <c r="J257" s="264">
        <f t="shared" ref="J257:M257" si="104">J258+J260</f>
        <v>75580</v>
      </c>
      <c r="K257" s="264">
        <f t="shared" si="104"/>
        <v>50603</v>
      </c>
      <c r="L257" s="264">
        <f t="shared" si="104"/>
        <v>49041</v>
      </c>
      <c r="M257" s="264">
        <f t="shared" si="104"/>
        <v>24658</v>
      </c>
      <c r="N257" s="264">
        <f t="shared" ref="N257:V257" si="105">N258+N260</f>
        <v>24545</v>
      </c>
      <c r="O257" s="264">
        <f t="shared" si="105"/>
        <v>4000</v>
      </c>
      <c r="P257" s="264">
        <f t="shared" si="105"/>
        <v>12345</v>
      </c>
      <c r="Q257" s="264">
        <f t="shared" si="105"/>
        <v>5000</v>
      </c>
      <c r="R257" s="264">
        <f t="shared" si="105"/>
        <v>3200</v>
      </c>
      <c r="S257" s="264">
        <f t="shared" si="105"/>
        <v>0</v>
      </c>
      <c r="T257" s="264">
        <f t="shared" si="105"/>
        <v>0</v>
      </c>
      <c r="U257" s="264">
        <f t="shared" si="105"/>
        <v>113</v>
      </c>
      <c r="V257" s="264">
        <f t="shared" si="105"/>
        <v>24545</v>
      </c>
      <c r="W257" s="259"/>
      <c r="Y257" s="259"/>
      <c r="Z257" s="259"/>
      <c r="AA257" s="259"/>
      <c r="AB257" s="259"/>
    </row>
    <row r="258" spans="1:28" s="268" customFormat="1" ht="45.4" customHeight="1">
      <c r="A258" s="271" t="s">
        <v>408</v>
      </c>
      <c r="B258" s="272" t="s">
        <v>35</v>
      </c>
      <c r="C258" s="262"/>
      <c r="D258" s="261"/>
      <c r="E258" s="274"/>
      <c r="F258" s="274"/>
      <c r="G258" s="261"/>
      <c r="H258" s="263"/>
      <c r="I258" s="264">
        <f>I259</f>
        <v>64142</v>
      </c>
      <c r="J258" s="264">
        <f t="shared" ref="J258:V258" si="106">J259</f>
        <v>62580</v>
      </c>
      <c r="K258" s="264">
        <f t="shared" si="106"/>
        <v>50503</v>
      </c>
      <c r="L258" s="264">
        <f t="shared" si="106"/>
        <v>48941</v>
      </c>
      <c r="M258" s="264">
        <f t="shared" si="106"/>
        <v>11758</v>
      </c>
      <c r="N258" s="264">
        <f t="shared" si="106"/>
        <v>11758</v>
      </c>
      <c r="O258" s="264">
        <f t="shared" si="106"/>
        <v>4000</v>
      </c>
      <c r="P258" s="264">
        <f t="shared" si="106"/>
        <v>7758</v>
      </c>
      <c r="Q258" s="264">
        <f t="shared" si="106"/>
        <v>0</v>
      </c>
      <c r="R258" s="264">
        <f t="shared" si="106"/>
        <v>0</v>
      </c>
      <c r="S258" s="264">
        <f t="shared" si="106"/>
        <v>0</v>
      </c>
      <c r="T258" s="264">
        <f t="shared" si="106"/>
        <v>0</v>
      </c>
      <c r="U258" s="264">
        <f t="shared" si="106"/>
        <v>0</v>
      </c>
      <c r="V258" s="264">
        <f t="shared" si="106"/>
        <v>11758</v>
      </c>
      <c r="W258" s="259"/>
      <c r="Y258" s="259"/>
      <c r="Z258" s="259"/>
      <c r="AA258" s="259"/>
      <c r="AB258" s="259"/>
    </row>
    <row r="259" spans="1:28" s="268" customFormat="1" ht="81.75" customHeight="1">
      <c r="A259" s="260">
        <v>1</v>
      </c>
      <c r="B259" s="273" t="s">
        <v>541</v>
      </c>
      <c r="C259" s="262" t="s">
        <v>38</v>
      </c>
      <c r="D259" s="260" t="s">
        <v>625</v>
      </c>
      <c r="E259" s="274">
        <v>2011</v>
      </c>
      <c r="F259" s="274">
        <v>2022</v>
      </c>
      <c r="G259" s="260"/>
      <c r="H259" s="275" t="s">
        <v>769</v>
      </c>
      <c r="I259" s="276">
        <v>64142</v>
      </c>
      <c r="J259" s="276">
        <v>62580</v>
      </c>
      <c r="K259" s="276">
        <v>50503</v>
      </c>
      <c r="L259" s="276">
        <v>48941</v>
      </c>
      <c r="M259" s="276">
        <v>11758</v>
      </c>
      <c r="N259" s="276">
        <f t="shared" si="91"/>
        <v>11758</v>
      </c>
      <c r="O259" s="276">
        <v>4000</v>
      </c>
      <c r="P259" s="276">
        <v>7758</v>
      </c>
      <c r="Q259" s="276"/>
      <c r="R259" s="276"/>
      <c r="S259" s="296"/>
      <c r="T259" s="276">
        <f t="shared" si="92"/>
        <v>0</v>
      </c>
      <c r="U259" s="276">
        <f t="shared" si="93"/>
        <v>0</v>
      </c>
      <c r="V259" s="296">
        <v>11758</v>
      </c>
      <c r="W259" s="259"/>
      <c r="Y259" s="259">
        <v>1</v>
      </c>
      <c r="Z259" s="259"/>
      <c r="AA259" s="259"/>
      <c r="AB259" s="259"/>
    </row>
    <row r="260" spans="1:28" s="268" customFormat="1" ht="40.5" customHeight="1">
      <c r="A260" s="271" t="s">
        <v>412</v>
      </c>
      <c r="B260" s="272" t="s">
        <v>36</v>
      </c>
      <c r="C260" s="262"/>
      <c r="D260" s="261"/>
      <c r="E260" s="274"/>
      <c r="F260" s="274"/>
      <c r="G260" s="261"/>
      <c r="H260" s="263"/>
      <c r="I260" s="264">
        <f>I261</f>
        <v>13000</v>
      </c>
      <c r="J260" s="264">
        <f t="shared" ref="J260:V261" si="107">J261</f>
        <v>13000</v>
      </c>
      <c r="K260" s="264">
        <f t="shared" si="107"/>
        <v>100</v>
      </c>
      <c r="L260" s="264">
        <f t="shared" si="107"/>
        <v>100</v>
      </c>
      <c r="M260" s="264">
        <f t="shared" si="107"/>
        <v>12900</v>
      </c>
      <c r="N260" s="264">
        <f t="shared" si="107"/>
        <v>12787</v>
      </c>
      <c r="O260" s="264">
        <f t="shared" si="107"/>
        <v>0</v>
      </c>
      <c r="P260" s="264">
        <f t="shared" si="107"/>
        <v>4587</v>
      </c>
      <c r="Q260" s="264">
        <f t="shared" si="107"/>
        <v>5000</v>
      </c>
      <c r="R260" s="264">
        <f t="shared" si="107"/>
        <v>3200</v>
      </c>
      <c r="S260" s="264">
        <f t="shared" si="107"/>
        <v>0</v>
      </c>
      <c r="T260" s="264">
        <f t="shared" si="107"/>
        <v>0</v>
      </c>
      <c r="U260" s="264">
        <f t="shared" si="107"/>
        <v>113</v>
      </c>
      <c r="V260" s="264">
        <f t="shared" si="107"/>
        <v>12787</v>
      </c>
      <c r="W260" s="259"/>
      <c r="Y260" s="259"/>
      <c r="Z260" s="259"/>
      <c r="AA260" s="259"/>
      <c r="AB260" s="259"/>
    </row>
    <row r="261" spans="1:28" s="288" customFormat="1" ht="40.5" customHeight="1">
      <c r="A261" s="279" t="s">
        <v>96</v>
      </c>
      <c r="B261" s="280" t="s">
        <v>123</v>
      </c>
      <c r="C261" s="306"/>
      <c r="D261" s="282"/>
      <c r="E261" s="307"/>
      <c r="F261" s="307"/>
      <c r="G261" s="282"/>
      <c r="H261" s="284"/>
      <c r="I261" s="285">
        <f>I262</f>
        <v>13000</v>
      </c>
      <c r="J261" s="285">
        <f t="shared" si="107"/>
        <v>13000</v>
      </c>
      <c r="K261" s="285">
        <f t="shared" si="107"/>
        <v>100</v>
      </c>
      <c r="L261" s="285">
        <f t="shared" si="107"/>
        <v>100</v>
      </c>
      <c r="M261" s="285">
        <f t="shared" si="107"/>
        <v>12900</v>
      </c>
      <c r="N261" s="285">
        <f t="shared" ref="N261:V261" si="108">N262</f>
        <v>12787</v>
      </c>
      <c r="O261" s="285">
        <f t="shared" si="108"/>
        <v>0</v>
      </c>
      <c r="P261" s="285">
        <f t="shared" si="108"/>
        <v>4587</v>
      </c>
      <c r="Q261" s="285">
        <f t="shared" si="108"/>
        <v>5000</v>
      </c>
      <c r="R261" s="285">
        <f t="shared" si="108"/>
        <v>3200</v>
      </c>
      <c r="S261" s="285">
        <f t="shared" si="108"/>
        <v>0</v>
      </c>
      <c r="T261" s="285">
        <f t="shared" si="108"/>
        <v>0</v>
      </c>
      <c r="U261" s="285">
        <f t="shared" si="108"/>
        <v>113</v>
      </c>
      <c r="V261" s="285">
        <f t="shared" si="108"/>
        <v>12787</v>
      </c>
      <c r="W261" s="308"/>
      <c r="Y261" s="308"/>
      <c r="Z261" s="308"/>
      <c r="AA261" s="308"/>
      <c r="AB261" s="308"/>
    </row>
    <row r="262" spans="1:28" s="268" customFormat="1" ht="54" customHeight="1">
      <c r="A262" s="304" t="s">
        <v>144</v>
      </c>
      <c r="B262" s="293" t="s">
        <v>542</v>
      </c>
      <c r="C262" s="262" t="s">
        <v>39</v>
      </c>
      <c r="D262" s="260" t="s">
        <v>229</v>
      </c>
      <c r="E262" s="274">
        <v>2022</v>
      </c>
      <c r="F262" s="274">
        <v>2024</v>
      </c>
      <c r="G262" s="260"/>
      <c r="H262" s="275" t="s">
        <v>770</v>
      </c>
      <c r="I262" s="276">
        <v>13000</v>
      </c>
      <c r="J262" s="276">
        <v>13000</v>
      </c>
      <c r="K262" s="276">
        <v>100</v>
      </c>
      <c r="L262" s="276">
        <v>100</v>
      </c>
      <c r="M262" s="276">
        <v>12900</v>
      </c>
      <c r="N262" s="276">
        <f t="shared" si="91"/>
        <v>12787</v>
      </c>
      <c r="O262" s="276"/>
      <c r="P262" s="276">
        <v>4587</v>
      </c>
      <c r="Q262" s="276">
        <v>5000</v>
      </c>
      <c r="R262" s="276">
        <v>3200</v>
      </c>
      <c r="S262" s="296"/>
      <c r="T262" s="276">
        <f t="shared" si="92"/>
        <v>0</v>
      </c>
      <c r="U262" s="276">
        <f t="shared" si="93"/>
        <v>113</v>
      </c>
      <c r="V262" s="296">
        <v>12787</v>
      </c>
      <c r="W262" s="259"/>
      <c r="Y262" s="259"/>
      <c r="Z262" s="259">
        <v>1</v>
      </c>
      <c r="AA262" s="259"/>
      <c r="AB262" s="259"/>
    </row>
    <row r="263" spans="1:28" s="268" customFormat="1" ht="22.5" customHeight="1">
      <c r="A263" s="261" t="s">
        <v>543</v>
      </c>
      <c r="B263" s="290" t="s">
        <v>544</v>
      </c>
      <c r="C263" s="262"/>
      <c r="D263" s="261"/>
      <c r="E263" s="274"/>
      <c r="F263" s="274"/>
      <c r="G263" s="261"/>
      <c r="H263" s="263"/>
      <c r="I263" s="264"/>
      <c r="J263" s="264"/>
      <c r="K263" s="264"/>
      <c r="L263" s="264"/>
      <c r="M263" s="264"/>
      <c r="N263" s="276">
        <f t="shared" si="91"/>
        <v>0</v>
      </c>
      <c r="O263" s="264"/>
      <c r="P263" s="264"/>
      <c r="Q263" s="264"/>
      <c r="R263" s="264"/>
      <c r="S263" s="296"/>
      <c r="T263" s="276">
        <f t="shared" si="92"/>
        <v>0</v>
      </c>
      <c r="U263" s="276">
        <f t="shared" si="93"/>
        <v>0</v>
      </c>
      <c r="V263" s="296">
        <v>0</v>
      </c>
      <c r="W263" s="259"/>
      <c r="Y263" s="259"/>
      <c r="Z263" s="259"/>
      <c r="AA263" s="259"/>
      <c r="AB263" s="259"/>
    </row>
    <row r="264" spans="1:28" s="268" customFormat="1" ht="22.5" customHeight="1">
      <c r="A264" s="261" t="s">
        <v>545</v>
      </c>
      <c r="B264" s="290" t="s">
        <v>194</v>
      </c>
      <c r="C264" s="262"/>
      <c r="D264" s="261"/>
      <c r="E264" s="274"/>
      <c r="F264" s="274"/>
      <c r="G264" s="261"/>
      <c r="H264" s="263"/>
      <c r="I264" s="264">
        <f>I265</f>
        <v>39460</v>
      </c>
      <c r="J264" s="264">
        <f t="shared" ref="J264:V265" si="109">J265</f>
        <v>39460</v>
      </c>
      <c r="K264" s="264">
        <f t="shared" si="109"/>
        <v>0</v>
      </c>
      <c r="L264" s="264">
        <f t="shared" si="109"/>
        <v>0</v>
      </c>
      <c r="M264" s="264">
        <f t="shared" si="109"/>
        <v>39460</v>
      </c>
      <c r="N264" s="264">
        <f t="shared" si="109"/>
        <v>37916</v>
      </c>
      <c r="O264" s="264">
        <f t="shared" si="109"/>
        <v>0</v>
      </c>
      <c r="P264" s="264">
        <f t="shared" si="109"/>
        <v>9110</v>
      </c>
      <c r="Q264" s="264">
        <f t="shared" si="109"/>
        <v>13806</v>
      </c>
      <c r="R264" s="264">
        <f t="shared" si="109"/>
        <v>7000</v>
      </c>
      <c r="S264" s="264">
        <f t="shared" si="109"/>
        <v>8000</v>
      </c>
      <c r="T264" s="264">
        <f t="shared" si="109"/>
        <v>0</v>
      </c>
      <c r="U264" s="264">
        <f t="shared" si="109"/>
        <v>1544</v>
      </c>
      <c r="V264" s="264">
        <f t="shared" si="109"/>
        <v>37916</v>
      </c>
      <c r="W264" s="259"/>
      <c r="Y264" s="259"/>
      <c r="Z264" s="259"/>
      <c r="AA264" s="259"/>
      <c r="AB264" s="259"/>
    </row>
    <row r="265" spans="1:28" s="268" customFormat="1" ht="48.75" customHeight="1">
      <c r="A265" s="271" t="s">
        <v>408</v>
      </c>
      <c r="B265" s="272" t="s">
        <v>36</v>
      </c>
      <c r="C265" s="262"/>
      <c r="D265" s="261"/>
      <c r="E265" s="274"/>
      <c r="F265" s="274"/>
      <c r="G265" s="261"/>
      <c r="H265" s="263"/>
      <c r="I265" s="264">
        <f>I266</f>
        <v>39460</v>
      </c>
      <c r="J265" s="264">
        <f t="shared" si="109"/>
        <v>39460</v>
      </c>
      <c r="K265" s="264">
        <f t="shared" si="109"/>
        <v>0</v>
      </c>
      <c r="L265" s="264">
        <f t="shared" si="109"/>
        <v>0</v>
      </c>
      <c r="M265" s="264">
        <f t="shared" si="109"/>
        <v>39460</v>
      </c>
      <c r="N265" s="264">
        <f t="shared" ref="N265:V265" si="110">N266</f>
        <v>37916</v>
      </c>
      <c r="O265" s="264">
        <f t="shared" si="110"/>
        <v>0</v>
      </c>
      <c r="P265" s="264">
        <f t="shared" si="110"/>
        <v>9110</v>
      </c>
      <c r="Q265" s="264">
        <f t="shared" si="110"/>
        <v>13806</v>
      </c>
      <c r="R265" s="264">
        <f t="shared" si="110"/>
        <v>7000</v>
      </c>
      <c r="S265" s="264">
        <f t="shared" si="110"/>
        <v>8000</v>
      </c>
      <c r="T265" s="264">
        <f t="shared" si="110"/>
        <v>0</v>
      </c>
      <c r="U265" s="264">
        <f t="shared" si="110"/>
        <v>1544</v>
      </c>
      <c r="V265" s="264">
        <f t="shared" si="110"/>
        <v>37916</v>
      </c>
      <c r="W265" s="259"/>
      <c r="Y265" s="259"/>
      <c r="Z265" s="259"/>
      <c r="AA265" s="259"/>
      <c r="AB265" s="259"/>
    </row>
    <row r="266" spans="1:28" s="288" customFormat="1" ht="48.75" customHeight="1">
      <c r="A266" s="279" t="s">
        <v>96</v>
      </c>
      <c r="B266" s="280" t="s">
        <v>123</v>
      </c>
      <c r="C266" s="306"/>
      <c r="D266" s="282"/>
      <c r="E266" s="307"/>
      <c r="F266" s="307"/>
      <c r="G266" s="282"/>
      <c r="H266" s="284"/>
      <c r="I266" s="285">
        <f>SUM(I267:I268)</f>
        <v>39460</v>
      </c>
      <c r="J266" s="285">
        <f t="shared" ref="J266:M266" si="111">SUM(J267:J268)</f>
        <v>39460</v>
      </c>
      <c r="K266" s="285">
        <f t="shared" si="111"/>
        <v>0</v>
      </c>
      <c r="L266" s="285">
        <f t="shared" si="111"/>
        <v>0</v>
      </c>
      <c r="M266" s="285">
        <f t="shared" si="111"/>
        <v>39460</v>
      </c>
      <c r="N266" s="285">
        <f t="shared" ref="N266:V266" si="112">SUM(N267:N268)</f>
        <v>37916</v>
      </c>
      <c r="O266" s="285">
        <f t="shared" si="112"/>
        <v>0</v>
      </c>
      <c r="P266" s="285">
        <f t="shared" si="112"/>
        <v>9110</v>
      </c>
      <c r="Q266" s="285">
        <f t="shared" si="112"/>
        <v>13806</v>
      </c>
      <c r="R266" s="285">
        <f t="shared" si="112"/>
        <v>7000</v>
      </c>
      <c r="S266" s="285">
        <f t="shared" si="112"/>
        <v>8000</v>
      </c>
      <c r="T266" s="285">
        <f t="shared" si="112"/>
        <v>0</v>
      </c>
      <c r="U266" s="285">
        <f t="shared" si="112"/>
        <v>1544</v>
      </c>
      <c r="V266" s="285">
        <f t="shared" si="112"/>
        <v>37916</v>
      </c>
      <c r="W266" s="308"/>
      <c r="Y266" s="308"/>
      <c r="Z266" s="308"/>
      <c r="AA266" s="308"/>
      <c r="AB266" s="308"/>
    </row>
    <row r="267" spans="1:28" s="268" customFormat="1" ht="43.5" customHeight="1">
      <c r="A267" s="304" t="s">
        <v>144</v>
      </c>
      <c r="B267" s="273" t="s">
        <v>546</v>
      </c>
      <c r="C267" s="262" t="s">
        <v>39</v>
      </c>
      <c r="D267" s="260" t="s">
        <v>229</v>
      </c>
      <c r="E267" s="274">
        <v>2023</v>
      </c>
      <c r="F267" s="274">
        <v>2025</v>
      </c>
      <c r="G267" s="260"/>
      <c r="H267" s="275" t="s">
        <v>771</v>
      </c>
      <c r="I267" s="276">
        <v>17000</v>
      </c>
      <c r="J267" s="276">
        <v>17000</v>
      </c>
      <c r="K267" s="276"/>
      <c r="L267" s="276"/>
      <c r="M267" s="276">
        <v>17000</v>
      </c>
      <c r="N267" s="276">
        <f t="shared" si="91"/>
        <v>16700</v>
      </c>
      <c r="O267" s="276"/>
      <c r="P267" s="276">
        <v>200</v>
      </c>
      <c r="Q267" s="276">
        <v>1500</v>
      </c>
      <c r="R267" s="276">
        <v>7000</v>
      </c>
      <c r="S267" s="296">
        <v>8000</v>
      </c>
      <c r="T267" s="276">
        <f t="shared" si="92"/>
        <v>0</v>
      </c>
      <c r="U267" s="276">
        <f t="shared" si="93"/>
        <v>300</v>
      </c>
      <c r="V267" s="296">
        <v>16700</v>
      </c>
      <c r="W267" s="259"/>
      <c r="Y267" s="259"/>
      <c r="Z267" s="259">
        <v>1</v>
      </c>
      <c r="AA267" s="259"/>
      <c r="AB267" s="259"/>
    </row>
    <row r="268" spans="1:28" s="268" customFormat="1" ht="60.75" customHeight="1">
      <c r="A268" s="304" t="s">
        <v>547</v>
      </c>
      <c r="B268" s="273" t="s">
        <v>548</v>
      </c>
      <c r="C268" s="262" t="s">
        <v>39</v>
      </c>
      <c r="D268" s="260" t="s">
        <v>229</v>
      </c>
      <c r="E268" s="274">
        <v>2022</v>
      </c>
      <c r="F268" s="274">
        <v>2024</v>
      </c>
      <c r="G268" s="260"/>
      <c r="H268" s="275" t="s">
        <v>772</v>
      </c>
      <c r="I268" s="276">
        <v>22460</v>
      </c>
      <c r="J268" s="276">
        <v>22460</v>
      </c>
      <c r="K268" s="276"/>
      <c r="L268" s="276"/>
      <c r="M268" s="276">
        <v>22460</v>
      </c>
      <c r="N268" s="276">
        <f t="shared" si="91"/>
        <v>21216</v>
      </c>
      <c r="O268" s="276"/>
      <c r="P268" s="276">
        <v>8910</v>
      </c>
      <c r="Q268" s="276">
        <v>12306</v>
      </c>
      <c r="R268" s="276"/>
      <c r="S268" s="296"/>
      <c r="T268" s="276">
        <f t="shared" si="92"/>
        <v>0</v>
      </c>
      <c r="U268" s="276">
        <f t="shared" si="93"/>
        <v>1244</v>
      </c>
      <c r="V268" s="296">
        <v>21216</v>
      </c>
      <c r="W268" s="259"/>
      <c r="Y268" s="259"/>
      <c r="Z268" s="259">
        <v>1</v>
      </c>
      <c r="AA268" s="259"/>
      <c r="AB268" s="259"/>
    </row>
    <row r="269" spans="1:28" s="268" customFormat="1" ht="22.5" customHeight="1">
      <c r="A269" s="261" t="s">
        <v>549</v>
      </c>
      <c r="B269" s="290" t="s">
        <v>197</v>
      </c>
      <c r="C269" s="262"/>
      <c r="D269" s="261"/>
      <c r="E269" s="274"/>
      <c r="F269" s="274"/>
      <c r="G269" s="261"/>
      <c r="H269" s="263"/>
      <c r="I269" s="264">
        <f>I270+I272</f>
        <v>53662.400000000001</v>
      </c>
      <c r="J269" s="264">
        <f t="shared" ref="J269:M269" si="113">J270+J272</f>
        <v>8962.4</v>
      </c>
      <c r="K269" s="264">
        <f t="shared" si="113"/>
        <v>700</v>
      </c>
      <c r="L269" s="264">
        <f t="shared" si="113"/>
        <v>700</v>
      </c>
      <c r="M269" s="264">
        <f t="shared" si="113"/>
        <v>8690</v>
      </c>
      <c r="N269" s="264">
        <f t="shared" ref="N269:V269" si="114">N270+N272</f>
        <v>8438</v>
      </c>
      <c r="O269" s="264">
        <f t="shared" si="114"/>
        <v>7952</v>
      </c>
      <c r="P269" s="264">
        <f t="shared" si="114"/>
        <v>0</v>
      </c>
      <c r="Q269" s="264">
        <f t="shared" si="114"/>
        <v>400</v>
      </c>
      <c r="R269" s="264">
        <f t="shared" si="114"/>
        <v>50</v>
      </c>
      <c r="S269" s="264">
        <f t="shared" si="114"/>
        <v>36</v>
      </c>
      <c r="T269" s="264">
        <f t="shared" si="114"/>
        <v>0</v>
      </c>
      <c r="U269" s="264">
        <f t="shared" si="114"/>
        <v>252</v>
      </c>
      <c r="V269" s="264">
        <f t="shared" si="114"/>
        <v>8438</v>
      </c>
      <c r="W269" s="259"/>
      <c r="Y269" s="259"/>
      <c r="Z269" s="259"/>
      <c r="AA269" s="259"/>
      <c r="AB269" s="259"/>
    </row>
    <row r="270" spans="1:28" s="268" customFormat="1" ht="55.5" customHeight="1">
      <c r="A270" s="271" t="s">
        <v>408</v>
      </c>
      <c r="B270" s="272" t="s">
        <v>35</v>
      </c>
      <c r="C270" s="262"/>
      <c r="D270" s="261"/>
      <c r="E270" s="274"/>
      <c r="F270" s="274"/>
      <c r="G270" s="261"/>
      <c r="H270" s="263"/>
      <c r="I270" s="264">
        <f>I271</f>
        <v>53202</v>
      </c>
      <c r="J270" s="264">
        <f t="shared" ref="J270:V270" si="115">J271</f>
        <v>8502</v>
      </c>
      <c r="K270" s="264">
        <f t="shared" si="115"/>
        <v>700</v>
      </c>
      <c r="L270" s="264">
        <f t="shared" si="115"/>
        <v>700</v>
      </c>
      <c r="M270" s="264">
        <f t="shared" si="115"/>
        <v>7802</v>
      </c>
      <c r="N270" s="264">
        <f t="shared" si="115"/>
        <v>7802</v>
      </c>
      <c r="O270" s="264">
        <f t="shared" si="115"/>
        <v>7802</v>
      </c>
      <c r="P270" s="264">
        <f t="shared" si="115"/>
        <v>0</v>
      </c>
      <c r="Q270" s="264">
        <f t="shared" si="115"/>
        <v>0</v>
      </c>
      <c r="R270" s="264">
        <f t="shared" si="115"/>
        <v>0</v>
      </c>
      <c r="S270" s="264">
        <f t="shared" si="115"/>
        <v>0</v>
      </c>
      <c r="T270" s="264">
        <f t="shared" si="115"/>
        <v>0</v>
      </c>
      <c r="U270" s="264">
        <f t="shared" si="115"/>
        <v>0</v>
      </c>
      <c r="V270" s="264">
        <f t="shared" si="115"/>
        <v>7802</v>
      </c>
      <c r="W270" s="259"/>
      <c r="Y270" s="259"/>
      <c r="Z270" s="259"/>
      <c r="AA270" s="259"/>
      <c r="AB270" s="259"/>
    </row>
    <row r="271" spans="1:28" s="268" customFormat="1" ht="72" customHeight="1">
      <c r="A271" s="260">
        <v>1</v>
      </c>
      <c r="B271" s="273" t="s">
        <v>198</v>
      </c>
      <c r="C271" s="262" t="s">
        <v>38</v>
      </c>
      <c r="D271" s="260"/>
      <c r="E271" s="274">
        <v>2020</v>
      </c>
      <c r="F271" s="274">
        <v>2023</v>
      </c>
      <c r="G271" s="260"/>
      <c r="H271" s="275" t="s">
        <v>339</v>
      </c>
      <c r="I271" s="276">
        <v>53202</v>
      </c>
      <c r="J271" s="276">
        <v>8502</v>
      </c>
      <c r="K271" s="276">
        <v>700</v>
      </c>
      <c r="L271" s="276">
        <v>700</v>
      </c>
      <c r="M271" s="276">
        <v>7802</v>
      </c>
      <c r="N271" s="276">
        <f t="shared" si="91"/>
        <v>7802</v>
      </c>
      <c r="O271" s="276">
        <v>7802</v>
      </c>
      <c r="P271" s="276"/>
      <c r="Q271" s="276"/>
      <c r="R271" s="276"/>
      <c r="S271" s="296"/>
      <c r="T271" s="276">
        <f t="shared" si="92"/>
        <v>0</v>
      </c>
      <c r="U271" s="276">
        <f t="shared" si="93"/>
        <v>0</v>
      </c>
      <c r="V271" s="296">
        <v>7802</v>
      </c>
      <c r="W271" s="546"/>
      <c r="Y271" s="259">
        <v>1</v>
      </c>
      <c r="Z271" s="259"/>
      <c r="AA271" s="259"/>
      <c r="AB271" s="259"/>
    </row>
    <row r="272" spans="1:28" s="268" customFormat="1" ht="55.5" customHeight="1">
      <c r="A272" s="271" t="s">
        <v>412</v>
      </c>
      <c r="B272" s="272" t="s">
        <v>36</v>
      </c>
      <c r="C272" s="262"/>
      <c r="D272" s="261"/>
      <c r="E272" s="274"/>
      <c r="F272" s="274"/>
      <c r="G272" s="261"/>
      <c r="H272" s="263"/>
      <c r="I272" s="264">
        <f>I273</f>
        <v>460.4</v>
      </c>
      <c r="J272" s="264">
        <f t="shared" ref="J272:V272" si="116">J273</f>
        <v>460.4</v>
      </c>
      <c r="K272" s="264">
        <f t="shared" si="116"/>
        <v>0</v>
      </c>
      <c r="L272" s="264">
        <f t="shared" si="116"/>
        <v>0</v>
      </c>
      <c r="M272" s="264">
        <f t="shared" si="116"/>
        <v>888</v>
      </c>
      <c r="N272" s="264">
        <f t="shared" si="116"/>
        <v>636</v>
      </c>
      <c r="O272" s="264">
        <f t="shared" si="116"/>
        <v>150</v>
      </c>
      <c r="P272" s="264">
        <f t="shared" si="116"/>
        <v>0</v>
      </c>
      <c r="Q272" s="264">
        <f t="shared" si="116"/>
        <v>400</v>
      </c>
      <c r="R272" s="264">
        <f t="shared" si="116"/>
        <v>50</v>
      </c>
      <c r="S272" s="264">
        <f t="shared" si="116"/>
        <v>36</v>
      </c>
      <c r="T272" s="264">
        <f t="shared" si="116"/>
        <v>0</v>
      </c>
      <c r="U272" s="264">
        <f t="shared" si="116"/>
        <v>252</v>
      </c>
      <c r="V272" s="264">
        <f t="shared" si="116"/>
        <v>636</v>
      </c>
      <c r="W272" s="259"/>
      <c r="Y272" s="259"/>
      <c r="Z272" s="259"/>
      <c r="AA272" s="259"/>
      <c r="AB272" s="259"/>
    </row>
    <row r="273" spans="1:28" s="288" customFormat="1" ht="55.5" customHeight="1">
      <c r="A273" s="279" t="s">
        <v>96</v>
      </c>
      <c r="B273" s="280" t="s">
        <v>123</v>
      </c>
      <c r="C273" s="306"/>
      <c r="D273" s="282"/>
      <c r="E273" s="307"/>
      <c r="F273" s="307"/>
      <c r="G273" s="282"/>
      <c r="H273" s="284"/>
      <c r="I273" s="285">
        <f>SUM(I274:I275)</f>
        <v>460.4</v>
      </c>
      <c r="J273" s="285">
        <f t="shared" ref="J273:M273" si="117">SUM(J274:J275)</f>
        <v>460.4</v>
      </c>
      <c r="K273" s="285">
        <f t="shared" si="117"/>
        <v>0</v>
      </c>
      <c r="L273" s="285">
        <f t="shared" si="117"/>
        <v>0</v>
      </c>
      <c r="M273" s="285">
        <f t="shared" si="117"/>
        <v>888</v>
      </c>
      <c r="N273" s="285">
        <f t="shared" ref="N273:V273" si="118">SUM(N274:N275)</f>
        <v>636</v>
      </c>
      <c r="O273" s="285">
        <f t="shared" si="118"/>
        <v>150</v>
      </c>
      <c r="P273" s="285">
        <f t="shared" si="118"/>
        <v>0</v>
      </c>
      <c r="Q273" s="285">
        <f t="shared" si="118"/>
        <v>400</v>
      </c>
      <c r="R273" s="285">
        <f t="shared" si="118"/>
        <v>50</v>
      </c>
      <c r="S273" s="285">
        <f t="shared" si="118"/>
        <v>36</v>
      </c>
      <c r="T273" s="285">
        <f t="shared" si="118"/>
        <v>0</v>
      </c>
      <c r="U273" s="285">
        <f t="shared" si="118"/>
        <v>252</v>
      </c>
      <c r="V273" s="285">
        <f t="shared" si="118"/>
        <v>636</v>
      </c>
      <c r="W273" s="308"/>
      <c r="Y273" s="308"/>
      <c r="Z273" s="308"/>
      <c r="AA273" s="308"/>
      <c r="AB273" s="308"/>
    </row>
    <row r="274" spans="1:28" s="268" customFormat="1" ht="58.5" customHeight="1">
      <c r="A274" s="260">
        <v>1</v>
      </c>
      <c r="B274" s="273" t="s">
        <v>861</v>
      </c>
      <c r="C274" s="262" t="s">
        <v>39</v>
      </c>
      <c r="D274" s="260"/>
      <c r="E274" s="274"/>
      <c r="F274" s="274"/>
      <c r="G274" s="260"/>
      <c r="H274" s="275"/>
      <c r="I274" s="276"/>
      <c r="J274" s="276"/>
      <c r="K274" s="276"/>
      <c r="L274" s="276"/>
      <c r="M274" s="276">
        <v>150</v>
      </c>
      <c r="N274" s="276">
        <f t="shared" si="91"/>
        <v>150</v>
      </c>
      <c r="O274" s="276">
        <v>150</v>
      </c>
      <c r="P274" s="276">
        <v>0</v>
      </c>
      <c r="Q274" s="276"/>
      <c r="R274" s="276"/>
      <c r="S274" s="296"/>
      <c r="T274" s="276">
        <f t="shared" si="92"/>
        <v>0</v>
      </c>
      <c r="U274" s="276">
        <f t="shared" si="93"/>
        <v>0</v>
      </c>
      <c r="V274" s="296">
        <v>150</v>
      </c>
      <c r="W274" s="262"/>
      <c r="Y274" s="259"/>
      <c r="Z274" s="259">
        <v>1</v>
      </c>
      <c r="AA274" s="259"/>
      <c r="AB274" s="259"/>
    </row>
    <row r="275" spans="1:28" s="268" customFormat="1" ht="63.75" customHeight="1">
      <c r="A275" s="260">
        <v>2</v>
      </c>
      <c r="B275" s="273" t="s">
        <v>550</v>
      </c>
      <c r="C275" s="262" t="s">
        <v>39</v>
      </c>
      <c r="D275" s="260"/>
      <c r="E275" s="274"/>
      <c r="F275" s="274"/>
      <c r="G275" s="260"/>
      <c r="H275" s="275" t="s">
        <v>773</v>
      </c>
      <c r="I275" s="276">
        <v>460.4</v>
      </c>
      <c r="J275" s="276">
        <v>460.4</v>
      </c>
      <c r="K275" s="276"/>
      <c r="L275" s="276"/>
      <c r="M275" s="276">
        <v>738</v>
      </c>
      <c r="N275" s="276">
        <f t="shared" si="91"/>
        <v>486</v>
      </c>
      <c r="O275" s="276"/>
      <c r="P275" s="276"/>
      <c r="Q275" s="276">
        <v>400</v>
      </c>
      <c r="R275" s="276">
        <v>50</v>
      </c>
      <c r="S275" s="296">
        <v>36</v>
      </c>
      <c r="T275" s="276">
        <f t="shared" si="92"/>
        <v>0</v>
      </c>
      <c r="U275" s="276">
        <f t="shared" si="93"/>
        <v>252</v>
      </c>
      <c r="V275" s="296">
        <v>486</v>
      </c>
      <c r="W275" s="547" t="s">
        <v>1091</v>
      </c>
      <c r="Y275" s="259"/>
      <c r="Z275" s="259">
        <v>1</v>
      </c>
      <c r="AA275" s="259"/>
      <c r="AB275" s="259"/>
    </row>
    <row r="276" spans="1:28" s="268" customFormat="1" ht="53.85" customHeight="1">
      <c r="A276" s="261" t="s">
        <v>551</v>
      </c>
      <c r="B276" s="290" t="s">
        <v>849</v>
      </c>
      <c r="C276" s="262"/>
      <c r="D276" s="261"/>
      <c r="E276" s="274"/>
      <c r="F276" s="274"/>
      <c r="G276" s="261"/>
      <c r="H276" s="263"/>
      <c r="I276" s="264">
        <f>I282+I277</f>
        <v>1036607</v>
      </c>
      <c r="J276" s="264">
        <f t="shared" ref="J276:M276" si="119">J282+J277</f>
        <v>896757</v>
      </c>
      <c r="K276" s="264">
        <f t="shared" si="119"/>
        <v>220350</v>
      </c>
      <c r="L276" s="264">
        <f t="shared" si="119"/>
        <v>170350</v>
      </c>
      <c r="M276" s="264">
        <f t="shared" si="119"/>
        <v>595294</v>
      </c>
      <c r="N276" s="264">
        <f t="shared" ref="N276:V276" si="120">N282+N277</f>
        <v>534593</v>
      </c>
      <c r="O276" s="264">
        <f t="shared" si="120"/>
        <v>213844</v>
      </c>
      <c r="P276" s="264">
        <f t="shared" si="120"/>
        <v>20000</v>
      </c>
      <c r="Q276" s="264">
        <f t="shared" si="120"/>
        <v>127566</v>
      </c>
      <c r="R276" s="264">
        <f t="shared" si="120"/>
        <v>86128</v>
      </c>
      <c r="S276" s="264">
        <f t="shared" si="120"/>
        <v>87055</v>
      </c>
      <c r="T276" s="264">
        <f t="shared" si="120"/>
        <v>0</v>
      </c>
      <c r="U276" s="264">
        <f t="shared" si="120"/>
        <v>60701</v>
      </c>
      <c r="V276" s="264">
        <f t="shared" si="120"/>
        <v>534593</v>
      </c>
      <c r="W276" s="259"/>
      <c r="Y276" s="259"/>
      <c r="Z276" s="259"/>
      <c r="AA276" s="259"/>
      <c r="AB276" s="259"/>
    </row>
    <row r="277" spans="1:28" s="268" customFormat="1" ht="53.85" customHeight="1">
      <c r="A277" s="271" t="s">
        <v>408</v>
      </c>
      <c r="B277" s="272" t="s">
        <v>35</v>
      </c>
      <c r="C277" s="262"/>
      <c r="D277" s="261"/>
      <c r="E277" s="274"/>
      <c r="F277" s="274"/>
      <c r="G277" s="261"/>
      <c r="H277" s="263"/>
      <c r="I277" s="264">
        <f>SUM(I278:I281)</f>
        <v>593617</v>
      </c>
      <c r="J277" s="264">
        <f t="shared" ref="J277:M277" si="121">SUM(J278:J281)</f>
        <v>503617</v>
      </c>
      <c r="K277" s="264">
        <f t="shared" si="121"/>
        <v>219650</v>
      </c>
      <c r="L277" s="264">
        <f t="shared" si="121"/>
        <v>169650</v>
      </c>
      <c r="M277" s="264">
        <f t="shared" si="121"/>
        <v>257578</v>
      </c>
      <c r="N277" s="264">
        <f t="shared" ref="N277:V277" si="122">SUM(N278:N281)</f>
        <v>257578</v>
      </c>
      <c r="O277" s="264">
        <f t="shared" si="122"/>
        <v>213844</v>
      </c>
      <c r="P277" s="264">
        <f t="shared" si="122"/>
        <v>4000</v>
      </c>
      <c r="Q277" s="264">
        <f t="shared" si="122"/>
        <v>39734</v>
      </c>
      <c r="R277" s="264">
        <f t="shared" si="122"/>
        <v>0</v>
      </c>
      <c r="S277" s="264">
        <f t="shared" si="122"/>
        <v>0</v>
      </c>
      <c r="T277" s="264">
        <f t="shared" si="122"/>
        <v>0</v>
      </c>
      <c r="U277" s="264">
        <f t="shared" si="122"/>
        <v>0</v>
      </c>
      <c r="V277" s="264">
        <f t="shared" si="122"/>
        <v>257578</v>
      </c>
      <c r="W277" s="259"/>
      <c r="Y277" s="259"/>
      <c r="Z277" s="259"/>
      <c r="AA277" s="259"/>
      <c r="AB277" s="259"/>
    </row>
    <row r="278" spans="1:28" s="268" customFormat="1" ht="57" customHeight="1">
      <c r="A278" s="260">
        <v>1</v>
      </c>
      <c r="B278" s="273" t="s">
        <v>422</v>
      </c>
      <c r="C278" s="262" t="s">
        <v>38</v>
      </c>
      <c r="D278" s="260" t="s">
        <v>229</v>
      </c>
      <c r="E278" s="274">
        <v>2019</v>
      </c>
      <c r="F278" s="274">
        <v>2022</v>
      </c>
      <c r="G278" s="260" t="s">
        <v>647</v>
      </c>
      <c r="H278" s="275" t="s">
        <v>648</v>
      </c>
      <c r="I278" s="276">
        <v>260000</v>
      </c>
      <c r="J278" s="276">
        <v>260000</v>
      </c>
      <c r="K278" s="276">
        <v>92151</v>
      </c>
      <c r="L278" s="276">
        <v>92151</v>
      </c>
      <c r="M278" s="276">
        <v>126698</v>
      </c>
      <c r="N278" s="276">
        <f t="shared" si="91"/>
        <v>126698</v>
      </c>
      <c r="O278" s="276">
        <f>135849-13151</f>
        <v>122698</v>
      </c>
      <c r="P278" s="276">
        <v>4000</v>
      </c>
      <c r="Q278" s="276"/>
      <c r="R278" s="276"/>
      <c r="S278" s="296"/>
      <c r="T278" s="276">
        <f t="shared" si="92"/>
        <v>0</v>
      </c>
      <c r="U278" s="276">
        <f t="shared" si="93"/>
        <v>0</v>
      </c>
      <c r="V278" s="296">
        <v>126698</v>
      </c>
      <c r="W278" s="259"/>
      <c r="Y278" s="259">
        <v>1</v>
      </c>
      <c r="Z278" s="259"/>
      <c r="AA278" s="259"/>
      <c r="AB278" s="259"/>
    </row>
    <row r="279" spans="1:28" s="268" customFormat="1" ht="57" customHeight="1">
      <c r="A279" s="260">
        <v>2</v>
      </c>
      <c r="B279" s="273" t="s">
        <v>423</v>
      </c>
      <c r="C279" s="262" t="s">
        <v>38</v>
      </c>
      <c r="D279" s="260" t="s">
        <v>229</v>
      </c>
      <c r="E279" s="274">
        <v>2019</v>
      </c>
      <c r="F279" s="274">
        <v>2022</v>
      </c>
      <c r="G279" s="260" t="s">
        <v>649</v>
      </c>
      <c r="H279" s="275" t="s">
        <v>650</v>
      </c>
      <c r="I279" s="276">
        <v>147992</v>
      </c>
      <c r="J279" s="276">
        <v>147992</v>
      </c>
      <c r="K279" s="276">
        <v>57324</v>
      </c>
      <c r="L279" s="276">
        <v>57324</v>
      </c>
      <c r="M279" s="276">
        <v>64696</v>
      </c>
      <c r="N279" s="276">
        <f t="shared" si="91"/>
        <v>64696</v>
      </c>
      <c r="O279" s="276">
        <f>70668-5972</f>
        <v>64696</v>
      </c>
      <c r="P279" s="276">
        <v>0</v>
      </c>
      <c r="Q279" s="276"/>
      <c r="R279" s="276"/>
      <c r="S279" s="296"/>
      <c r="T279" s="276">
        <f t="shared" si="92"/>
        <v>0</v>
      </c>
      <c r="U279" s="276">
        <f t="shared" si="93"/>
        <v>0</v>
      </c>
      <c r="V279" s="296">
        <v>64696</v>
      </c>
      <c r="W279" s="259"/>
      <c r="Y279" s="259">
        <v>1</v>
      </c>
      <c r="Z279" s="259"/>
      <c r="AA279" s="259"/>
      <c r="AB279" s="259"/>
    </row>
    <row r="280" spans="1:28" s="268" customFormat="1" ht="57" customHeight="1">
      <c r="A280" s="260">
        <v>3</v>
      </c>
      <c r="B280" s="273" t="s">
        <v>424</v>
      </c>
      <c r="C280" s="262" t="s">
        <v>39</v>
      </c>
      <c r="D280" s="260" t="s">
        <v>229</v>
      </c>
      <c r="E280" s="274">
        <v>2019</v>
      </c>
      <c r="F280" s="274">
        <v>2021</v>
      </c>
      <c r="G280" s="260" t="s">
        <v>651</v>
      </c>
      <c r="H280" s="275" t="s">
        <v>652</v>
      </c>
      <c r="I280" s="276">
        <v>46625</v>
      </c>
      <c r="J280" s="276">
        <v>46625</v>
      </c>
      <c r="K280" s="276">
        <v>20175</v>
      </c>
      <c r="L280" s="276">
        <v>20175</v>
      </c>
      <c r="M280" s="276">
        <v>26450</v>
      </c>
      <c r="N280" s="276">
        <f t="shared" ref="N280:N342" si="123">SUM(O280:S280)</f>
        <v>26450</v>
      </c>
      <c r="O280" s="276">
        <v>26450</v>
      </c>
      <c r="P280" s="276"/>
      <c r="Q280" s="276"/>
      <c r="R280" s="276"/>
      <c r="S280" s="296"/>
      <c r="T280" s="276">
        <f t="shared" si="92"/>
        <v>0</v>
      </c>
      <c r="U280" s="276">
        <f t="shared" si="93"/>
        <v>0</v>
      </c>
      <c r="V280" s="296">
        <v>26450</v>
      </c>
      <c r="W280" s="259"/>
      <c r="Y280" s="259">
        <v>1</v>
      </c>
      <c r="Z280" s="259"/>
      <c r="AA280" s="259"/>
      <c r="AB280" s="259"/>
    </row>
    <row r="281" spans="1:28" s="268" customFormat="1" ht="90.75" customHeight="1">
      <c r="A281" s="260">
        <v>4</v>
      </c>
      <c r="B281" s="273" t="s">
        <v>200</v>
      </c>
      <c r="C281" s="262" t="s">
        <v>38</v>
      </c>
      <c r="D281" s="260" t="s">
        <v>230</v>
      </c>
      <c r="E281" s="274">
        <v>2019</v>
      </c>
      <c r="F281" s="274">
        <v>2022</v>
      </c>
      <c r="G281" s="260" t="s">
        <v>288</v>
      </c>
      <c r="H281" s="275" t="s">
        <v>774</v>
      </c>
      <c r="I281" s="276">
        <v>139000</v>
      </c>
      <c r="J281" s="276">
        <v>49000</v>
      </c>
      <c r="K281" s="276">
        <v>50000</v>
      </c>
      <c r="L281" s="276"/>
      <c r="M281" s="276">
        <v>39734</v>
      </c>
      <c r="N281" s="276">
        <f t="shared" si="123"/>
        <v>39734</v>
      </c>
      <c r="O281" s="276"/>
      <c r="P281" s="276"/>
      <c r="Q281" s="276">
        <v>39734</v>
      </c>
      <c r="R281" s="276"/>
      <c r="S281" s="296"/>
      <c r="T281" s="276">
        <f t="shared" si="92"/>
        <v>0</v>
      </c>
      <c r="U281" s="276">
        <f t="shared" si="93"/>
        <v>0</v>
      </c>
      <c r="V281" s="296">
        <v>39734</v>
      </c>
      <c r="W281" s="259"/>
      <c r="Y281" s="259">
        <v>1</v>
      </c>
      <c r="Z281" s="259"/>
      <c r="AA281" s="259"/>
      <c r="AB281" s="259"/>
    </row>
    <row r="282" spans="1:28" s="268" customFormat="1" ht="43.5" customHeight="1">
      <c r="A282" s="271" t="s">
        <v>412</v>
      </c>
      <c r="B282" s="272" t="s">
        <v>36</v>
      </c>
      <c r="C282" s="262"/>
      <c r="D282" s="261"/>
      <c r="E282" s="274"/>
      <c r="F282" s="274"/>
      <c r="G282" s="261"/>
      <c r="H282" s="263"/>
      <c r="I282" s="264">
        <f>I283+I294</f>
        <v>442990</v>
      </c>
      <c r="J282" s="264">
        <f t="shared" ref="J282:M282" si="124">J283+J294</f>
        <v>393140</v>
      </c>
      <c r="K282" s="264">
        <f t="shared" si="124"/>
        <v>700</v>
      </c>
      <c r="L282" s="264">
        <f t="shared" si="124"/>
        <v>700</v>
      </c>
      <c r="M282" s="264">
        <f t="shared" si="124"/>
        <v>337716</v>
      </c>
      <c r="N282" s="264">
        <f t="shared" ref="N282:V282" si="125">N283+N294</f>
        <v>277015</v>
      </c>
      <c r="O282" s="264">
        <f t="shared" si="125"/>
        <v>0</v>
      </c>
      <c r="P282" s="264">
        <f t="shared" si="125"/>
        <v>16000</v>
      </c>
      <c r="Q282" s="264">
        <f t="shared" si="125"/>
        <v>87832</v>
      </c>
      <c r="R282" s="264">
        <f t="shared" si="125"/>
        <v>86128</v>
      </c>
      <c r="S282" s="264">
        <f t="shared" si="125"/>
        <v>87055</v>
      </c>
      <c r="T282" s="264">
        <f t="shared" si="125"/>
        <v>0</v>
      </c>
      <c r="U282" s="264">
        <f t="shared" si="125"/>
        <v>60701</v>
      </c>
      <c r="V282" s="264">
        <f t="shared" si="125"/>
        <v>277015</v>
      </c>
      <c r="W282" s="259"/>
      <c r="Y282" s="259"/>
      <c r="Z282" s="259"/>
      <c r="AA282" s="259"/>
      <c r="AB282" s="259"/>
    </row>
    <row r="283" spans="1:28" s="288" customFormat="1" ht="43.5" customHeight="1">
      <c r="A283" s="279" t="s">
        <v>96</v>
      </c>
      <c r="B283" s="280" t="s">
        <v>123</v>
      </c>
      <c r="C283" s="306"/>
      <c r="D283" s="282"/>
      <c r="E283" s="307"/>
      <c r="F283" s="307"/>
      <c r="G283" s="282"/>
      <c r="H283" s="284"/>
      <c r="I283" s="285">
        <f>SUM(I284:I293)</f>
        <v>412990</v>
      </c>
      <c r="J283" s="285">
        <f t="shared" ref="J283:M283" si="126">SUM(J284:J293)</f>
        <v>363140</v>
      </c>
      <c r="K283" s="285">
        <f t="shared" si="126"/>
        <v>700</v>
      </c>
      <c r="L283" s="285">
        <f t="shared" si="126"/>
        <v>700</v>
      </c>
      <c r="M283" s="285">
        <f t="shared" si="126"/>
        <v>332716</v>
      </c>
      <c r="N283" s="285">
        <f t="shared" ref="N283:V283" si="127">SUM(N284:N293)</f>
        <v>277015</v>
      </c>
      <c r="O283" s="285">
        <f t="shared" si="127"/>
        <v>0</v>
      </c>
      <c r="P283" s="285">
        <f t="shared" si="127"/>
        <v>16000</v>
      </c>
      <c r="Q283" s="285">
        <f t="shared" si="127"/>
        <v>87832</v>
      </c>
      <c r="R283" s="285">
        <f t="shared" si="127"/>
        <v>86128</v>
      </c>
      <c r="S283" s="285">
        <f t="shared" si="127"/>
        <v>87055</v>
      </c>
      <c r="T283" s="285">
        <f t="shared" si="127"/>
        <v>0</v>
      </c>
      <c r="U283" s="285">
        <f t="shared" si="127"/>
        <v>55701</v>
      </c>
      <c r="V283" s="285">
        <f t="shared" si="127"/>
        <v>277015</v>
      </c>
      <c r="W283" s="308"/>
      <c r="Y283" s="308"/>
      <c r="Z283" s="308"/>
      <c r="AA283" s="308"/>
      <c r="AB283" s="308"/>
    </row>
    <row r="284" spans="1:28" s="268" customFormat="1" ht="48.75" customHeight="1">
      <c r="A284" s="260">
        <v>1</v>
      </c>
      <c r="B284" s="273" t="s">
        <v>425</v>
      </c>
      <c r="C284" s="262" t="s">
        <v>39</v>
      </c>
      <c r="D284" s="260" t="s">
        <v>229</v>
      </c>
      <c r="E284" s="274">
        <v>2024</v>
      </c>
      <c r="F284" s="274">
        <v>2025</v>
      </c>
      <c r="G284" s="260"/>
      <c r="H284" s="275" t="s">
        <v>864</v>
      </c>
      <c r="I284" s="276">
        <v>7400</v>
      </c>
      <c r="J284" s="276">
        <v>7400</v>
      </c>
      <c r="K284" s="276"/>
      <c r="L284" s="276"/>
      <c r="M284" s="276">
        <v>7400</v>
      </c>
      <c r="N284" s="276">
        <f t="shared" si="123"/>
        <v>200</v>
      </c>
      <c r="O284" s="276"/>
      <c r="P284" s="276"/>
      <c r="Q284" s="276"/>
      <c r="R284" s="276">
        <v>200</v>
      </c>
      <c r="S284" s="296"/>
      <c r="T284" s="276">
        <f t="shared" ref="T284:T345" si="128">IF(V284&gt;M284,V284-M284,0)</f>
        <v>0</v>
      </c>
      <c r="U284" s="276">
        <f t="shared" ref="U284:U345" si="129">IF(V284&lt;M284,M284-V284,0)</f>
        <v>7200</v>
      </c>
      <c r="V284" s="296">
        <v>200</v>
      </c>
      <c r="W284" s="259"/>
      <c r="Y284" s="259"/>
      <c r="Z284" s="259">
        <v>1</v>
      </c>
      <c r="AA284" s="259"/>
      <c r="AB284" s="259"/>
    </row>
    <row r="285" spans="1:28" s="268" customFormat="1" ht="50.25" customHeight="1">
      <c r="A285" s="260">
        <v>2</v>
      </c>
      <c r="B285" s="273" t="s">
        <v>426</v>
      </c>
      <c r="C285" s="262" t="s">
        <v>38</v>
      </c>
      <c r="D285" s="260" t="s">
        <v>229</v>
      </c>
      <c r="E285" s="274">
        <v>2023</v>
      </c>
      <c r="F285" s="274">
        <v>2025</v>
      </c>
      <c r="G285" s="260" t="s">
        <v>655</v>
      </c>
      <c r="H285" s="275" t="s">
        <v>656</v>
      </c>
      <c r="I285" s="276">
        <v>210000</v>
      </c>
      <c r="J285" s="276">
        <v>210000</v>
      </c>
      <c r="K285" s="276"/>
      <c r="L285" s="276"/>
      <c r="M285" s="276">
        <v>210000</v>
      </c>
      <c r="N285" s="276">
        <f t="shared" si="123"/>
        <v>166499</v>
      </c>
      <c r="O285" s="276"/>
      <c r="P285" s="276"/>
      <c r="Q285" s="276">
        <v>54632</v>
      </c>
      <c r="R285" s="276">
        <v>49752</v>
      </c>
      <c r="S285" s="296">
        <v>62115</v>
      </c>
      <c r="T285" s="276">
        <f t="shared" si="128"/>
        <v>0</v>
      </c>
      <c r="U285" s="276">
        <f t="shared" si="129"/>
        <v>43501</v>
      </c>
      <c r="V285" s="296">
        <v>166499</v>
      </c>
      <c r="W285" s="259"/>
      <c r="Y285" s="259"/>
      <c r="Z285" s="259">
        <v>1</v>
      </c>
      <c r="AA285" s="259"/>
      <c r="AB285" s="259"/>
    </row>
    <row r="286" spans="1:28" s="268" customFormat="1" ht="46.5" customHeight="1">
      <c r="A286" s="305">
        <v>3</v>
      </c>
      <c r="B286" s="273" t="s">
        <v>552</v>
      </c>
      <c r="C286" s="262" t="s">
        <v>39</v>
      </c>
      <c r="D286" s="260" t="s">
        <v>230</v>
      </c>
      <c r="E286" s="274">
        <v>2023</v>
      </c>
      <c r="F286" s="274">
        <v>2025</v>
      </c>
      <c r="G286" s="260" t="s">
        <v>775</v>
      </c>
      <c r="H286" s="275" t="s">
        <v>776</v>
      </c>
      <c r="I286" s="276">
        <v>39800</v>
      </c>
      <c r="J286" s="276">
        <v>39800</v>
      </c>
      <c r="K286" s="276">
        <v>200</v>
      </c>
      <c r="L286" s="276">
        <v>200</v>
      </c>
      <c r="M286" s="276">
        <v>30600</v>
      </c>
      <c r="N286" s="276">
        <f t="shared" si="123"/>
        <v>30600</v>
      </c>
      <c r="O286" s="264"/>
      <c r="P286" s="264"/>
      <c r="Q286" s="276"/>
      <c r="R286" s="276">
        <v>12000</v>
      </c>
      <c r="S286" s="296">
        <v>18600</v>
      </c>
      <c r="T286" s="276">
        <f t="shared" si="128"/>
        <v>0</v>
      </c>
      <c r="U286" s="276">
        <f t="shared" si="129"/>
        <v>0</v>
      </c>
      <c r="V286" s="296">
        <v>30600</v>
      </c>
      <c r="W286" s="259"/>
      <c r="Y286" s="259"/>
      <c r="Z286" s="259">
        <v>1</v>
      </c>
      <c r="AA286" s="259"/>
      <c r="AB286" s="259"/>
    </row>
    <row r="287" spans="1:28" s="268" customFormat="1" ht="46.5" customHeight="1">
      <c r="A287" s="260">
        <v>4</v>
      </c>
      <c r="B287" s="273" t="s">
        <v>553</v>
      </c>
      <c r="C287" s="262" t="s">
        <v>39</v>
      </c>
      <c r="D287" s="260" t="s">
        <v>863</v>
      </c>
      <c r="E287" s="274">
        <v>2023</v>
      </c>
      <c r="F287" s="274">
        <v>2025</v>
      </c>
      <c r="G287" s="260"/>
      <c r="H287" s="275"/>
      <c r="I287" s="276">
        <v>14990</v>
      </c>
      <c r="J287" s="276">
        <v>5000</v>
      </c>
      <c r="K287" s="276"/>
      <c r="L287" s="276"/>
      <c r="M287" s="276">
        <v>5000</v>
      </c>
      <c r="N287" s="276">
        <f t="shared" si="123"/>
        <v>0</v>
      </c>
      <c r="O287" s="264"/>
      <c r="P287" s="264"/>
      <c r="Q287" s="276"/>
      <c r="R287" s="276"/>
      <c r="S287" s="296"/>
      <c r="T287" s="276">
        <f t="shared" si="128"/>
        <v>0</v>
      </c>
      <c r="U287" s="276">
        <f t="shared" si="129"/>
        <v>5000</v>
      </c>
      <c r="V287" s="296">
        <v>0</v>
      </c>
      <c r="W287" s="259"/>
      <c r="Y287" s="259"/>
      <c r="Z287" s="259">
        <v>1</v>
      </c>
      <c r="AA287" s="259"/>
      <c r="AB287" s="259"/>
    </row>
    <row r="288" spans="1:28" s="268" customFormat="1" ht="62.25" customHeight="1">
      <c r="A288" s="260">
        <v>5</v>
      </c>
      <c r="B288" s="309" t="s">
        <v>554</v>
      </c>
      <c r="C288" s="262" t="s">
        <v>39</v>
      </c>
      <c r="D288" s="294" t="s">
        <v>632</v>
      </c>
      <c r="E288" s="274">
        <v>2022</v>
      </c>
      <c r="F288" s="274">
        <v>2024</v>
      </c>
      <c r="G288" s="260" t="s">
        <v>777</v>
      </c>
      <c r="H288" s="275" t="s">
        <v>778</v>
      </c>
      <c r="I288" s="295">
        <v>39800</v>
      </c>
      <c r="J288" s="295">
        <f>I288*0.8</f>
        <v>31840</v>
      </c>
      <c r="K288" s="295">
        <v>200</v>
      </c>
      <c r="L288" s="295">
        <v>200</v>
      </c>
      <c r="M288" s="295">
        <v>31640</v>
      </c>
      <c r="N288" s="276">
        <f t="shared" si="123"/>
        <v>31640</v>
      </c>
      <c r="O288" s="276"/>
      <c r="P288" s="276">
        <v>5000</v>
      </c>
      <c r="Q288" s="276">
        <v>15000</v>
      </c>
      <c r="R288" s="276">
        <v>11000</v>
      </c>
      <c r="S288" s="296">
        <v>640</v>
      </c>
      <c r="T288" s="276">
        <f t="shared" si="128"/>
        <v>0</v>
      </c>
      <c r="U288" s="276">
        <f t="shared" si="129"/>
        <v>0</v>
      </c>
      <c r="V288" s="296">
        <v>31640</v>
      </c>
      <c r="W288" s="259"/>
      <c r="Y288" s="259"/>
      <c r="Z288" s="259">
        <v>1</v>
      </c>
      <c r="AA288" s="259"/>
      <c r="AB288" s="259"/>
    </row>
    <row r="289" spans="1:28" s="268" customFormat="1" ht="72" customHeight="1">
      <c r="A289" s="305">
        <v>6</v>
      </c>
      <c r="B289" s="309" t="s">
        <v>555</v>
      </c>
      <c r="C289" s="262" t="s">
        <v>39</v>
      </c>
      <c r="D289" s="294" t="s">
        <v>229</v>
      </c>
      <c r="E289" s="274">
        <v>2023</v>
      </c>
      <c r="F289" s="274">
        <v>2025</v>
      </c>
      <c r="G289" s="294" t="s">
        <v>779</v>
      </c>
      <c r="H289" s="275" t="s">
        <v>862</v>
      </c>
      <c r="I289" s="295">
        <v>35000</v>
      </c>
      <c r="J289" s="295">
        <v>30100</v>
      </c>
      <c r="K289" s="295">
        <v>200</v>
      </c>
      <c r="L289" s="295">
        <v>200</v>
      </c>
      <c r="M289" s="295">
        <v>9800</v>
      </c>
      <c r="N289" s="276">
        <f t="shared" si="123"/>
        <v>9800</v>
      </c>
      <c r="O289" s="295"/>
      <c r="P289" s="295"/>
      <c r="Q289" s="295">
        <v>2000</v>
      </c>
      <c r="R289" s="295">
        <v>4000</v>
      </c>
      <c r="S289" s="296">
        <v>3800</v>
      </c>
      <c r="T289" s="276">
        <f t="shared" si="128"/>
        <v>0</v>
      </c>
      <c r="U289" s="276">
        <f t="shared" si="129"/>
        <v>0</v>
      </c>
      <c r="V289" s="296">
        <v>9800</v>
      </c>
      <c r="W289" s="259"/>
      <c r="Y289" s="259"/>
      <c r="Z289" s="259">
        <v>1</v>
      </c>
      <c r="AA289" s="259"/>
      <c r="AB289" s="259"/>
    </row>
    <row r="290" spans="1:28" s="268" customFormat="1" ht="65.849999999999994" customHeight="1">
      <c r="A290" s="260">
        <v>7</v>
      </c>
      <c r="B290" s="309" t="s">
        <v>556</v>
      </c>
      <c r="C290" s="262" t="s">
        <v>39</v>
      </c>
      <c r="D290" s="294" t="s">
        <v>229</v>
      </c>
      <c r="E290" s="274">
        <v>2023</v>
      </c>
      <c r="F290" s="274">
        <v>2025</v>
      </c>
      <c r="G290" s="294" t="s">
        <v>780</v>
      </c>
      <c r="H290" s="275" t="s">
        <v>781</v>
      </c>
      <c r="I290" s="295">
        <v>8000</v>
      </c>
      <c r="J290" s="295">
        <v>6000</v>
      </c>
      <c r="K290" s="295">
        <v>100</v>
      </c>
      <c r="L290" s="295">
        <v>100</v>
      </c>
      <c r="M290" s="295">
        <v>5900</v>
      </c>
      <c r="N290" s="276">
        <f t="shared" si="123"/>
        <v>5900</v>
      </c>
      <c r="O290" s="295"/>
      <c r="P290" s="295"/>
      <c r="Q290" s="295"/>
      <c r="R290" s="295">
        <v>4000</v>
      </c>
      <c r="S290" s="296">
        <v>1900</v>
      </c>
      <c r="T290" s="276">
        <f t="shared" si="128"/>
        <v>0</v>
      </c>
      <c r="U290" s="276">
        <f t="shared" si="129"/>
        <v>0</v>
      </c>
      <c r="V290" s="296">
        <v>5900</v>
      </c>
      <c r="W290" s="259"/>
      <c r="Y290" s="259"/>
      <c r="Z290" s="259">
        <v>1</v>
      </c>
      <c r="AA290" s="259"/>
      <c r="AB290" s="259"/>
    </row>
    <row r="291" spans="1:28" s="268" customFormat="1" ht="65.849999999999994" customHeight="1">
      <c r="A291" s="260">
        <v>8</v>
      </c>
      <c r="B291" s="309" t="s">
        <v>557</v>
      </c>
      <c r="C291" s="262" t="s">
        <v>39</v>
      </c>
      <c r="D291" s="294" t="s">
        <v>632</v>
      </c>
      <c r="E291" s="274">
        <v>2022</v>
      </c>
      <c r="F291" s="274">
        <v>2024</v>
      </c>
      <c r="G291" s="260"/>
      <c r="H291" s="275" t="s">
        <v>782</v>
      </c>
      <c r="I291" s="276">
        <v>20000</v>
      </c>
      <c r="J291" s="276">
        <v>10000</v>
      </c>
      <c r="K291" s="276"/>
      <c r="L291" s="276"/>
      <c r="M291" s="276">
        <v>10000</v>
      </c>
      <c r="N291" s="276">
        <f t="shared" si="123"/>
        <v>10000</v>
      </c>
      <c r="O291" s="276"/>
      <c r="P291" s="276">
        <v>4000</v>
      </c>
      <c r="Q291" s="276">
        <v>5000</v>
      </c>
      <c r="R291" s="276">
        <v>1000</v>
      </c>
      <c r="S291" s="296"/>
      <c r="T291" s="276">
        <f t="shared" si="128"/>
        <v>0</v>
      </c>
      <c r="U291" s="276">
        <f t="shared" si="129"/>
        <v>0</v>
      </c>
      <c r="V291" s="296">
        <v>10000</v>
      </c>
      <c r="W291" s="259"/>
      <c r="Y291" s="259"/>
      <c r="Z291" s="259">
        <v>1</v>
      </c>
      <c r="AA291" s="259"/>
      <c r="AB291" s="259"/>
    </row>
    <row r="292" spans="1:28" s="268" customFormat="1" ht="43.9" customHeight="1">
      <c r="A292" s="305">
        <v>9</v>
      </c>
      <c r="B292" s="273" t="s">
        <v>558</v>
      </c>
      <c r="C292" s="262" t="s">
        <v>39</v>
      </c>
      <c r="D292" s="260" t="s">
        <v>629</v>
      </c>
      <c r="E292" s="274">
        <v>2022</v>
      </c>
      <c r="F292" s="274">
        <v>2024</v>
      </c>
      <c r="G292" s="294" t="s">
        <v>783</v>
      </c>
      <c r="H292" s="275" t="s">
        <v>784</v>
      </c>
      <c r="I292" s="276">
        <v>25000</v>
      </c>
      <c r="J292" s="276">
        <v>10000</v>
      </c>
      <c r="K292" s="276"/>
      <c r="L292" s="276"/>
      <c r="M292" s="276">
        <v>10000</v>
      </c>
      <c r="N292" s="276">
        <f t="shared" si="123"/>
        <v>10000</v>
      </c>
      <c r="O292" s="276"/>
      <c r="P292" s="276">
        <v>5000</v>
      </c>
      <c r="Q292" s="276">
        <v>4000</v>
      </c>
      <c r="R292" s="276">
        <v>1000</v>
      </c>
      <c r="S292" s="296"/>
      <c r="T292" s="276">
        <f t="shared" si="128"/>
        <v>0</v>
      </c>
      <c r="U292" s="276">
        <f t="shared" si="129"/>
        <v>0</v>
      </c>
      <c r="V292" s="296">
        <v>10000</v>
      </c>
      <c r="W292" s="259"/>
      <c r="Y292" s="259"/>
      <c r="Z292" s="259">
        <v>1</v>
      </c>
      <c r="AA292" s="259"/>
      <c r="AB292" s="259"/>
    </row>
    <row r="293" spans="1:28" s="268" customFormat="1" ht="43.9" customHeight="1">
      <c r="A293" s="260">
        <v>10</v>
      </c>
      <c r="B293" s="273" t="s">
        <v>559</v>
      </c>
      <c r="C293" s="262" t="s">
        <v>39</v>
      </c>
      <c r="D293" s="260" t="s">
        <v>633</v>
      </c>
      <c r="E293" s="274">
        <v>2022</v>
      </c>
      <c r="F293" s="274">
        <v>2024</v>
      </c>
      <c r="G293" s="260"/>
      <c r="H293" s="275" t="s">
        <v>785</v>
      </c>
      <c r="I293" s="276">
        <v>13000</v>
      </c>
      <c r="J293" s="276">
        <v>13000</v>
      </c>
      <c r="K293" s="276"/>
      <c r="L293" s="276"/>
      <c r="M293" s="276">
        <v>12376</v>
      </c>
      <c r="N293" s="276">
        <f t="shared" si="123"/>
        <v>12376</v>
      </c>
      <c r="O293" s="276"/>
      <c r="P293" s="276">
        <v>2000</v>
      </c>
      <c r="Q293" s="276">
        <v>7200</v>
      </c>
      <c r="R293" s="276">
        <v>3176</v>
      </c>
      <c r="S293" s="296"/>
      <c r="T293" s="276">
        <f t="shared" si="128"/>
        <v>0</v>
      </c>
      <c r="U293" s="276">
        <f t="shared" si="129"/>
        <v>0</v>
      </c>
      <c r="V293" s="296">
        <v>12376</v>
      </c>
      <c r="W293" s="259"/>
      <c r="Y293" s="259"/>
      <c r="Z293" s="259">
        <v>1</v>
      </c>
      <c r="AA293" s="259"/>
      <c r="AB293" s="259"/>
    </row>
    <row r="294" spans="1:28" s="288" customFormat="1" ht="39.75" customHeight="1">
      <c r="A294" s="279" t="s">
        <v>97</v>
      </c>
      <c r="B294" s="280" t="s">
        <v>98</v>
      </c>
      <c r="C294" s="281"/>
      <c r="D294" s="282"/>
      <c r="E294" s="283"/>
      <c r="F294" s="283"/>
      <c r="G294" s="282"/>
      <c r="H294" s="284"/>
      <c r="I294" s="285">
        <f>I295</f>
        <v>30000</v>
      </c>
      <c r="J294" s="285">
        <f t="shared" ref="J294:V294" si="130">J295</f>
        <v>30000</v>
      </c>
      <c r="K294" s="285">
        <f t="shared" si="130"/>
        <v>0</v>
      </c>
      <c r="L294" s="285">
        <f t="shared" si="130"/>
        <v>0</v>
      </c>
      <c r="M294" s="285">
        <f t="shared" si="130"/>
        <v>5000</v>
      </c>
      <c r="N294" s="285">
        <f t="shared" si="130"/>
        <v>0</v>
      </c>
      <c r="O294" s="285">
        <f t="shared" si="130"/>
        <v>0</v>
      </c>
      <c r="P294" s="285">
        <f t="shared" si="130"/>
        <v>0</v>
      </c>
      <c r="Q294" s="285">
        <f t="shared" si="130"/>
        <v>0</v>
      </c>
      <c r="R294" s="285">
        <f t="shared" si="130"/>
        <v>0</v>
      </c>
      <c r="S294" s="285">
        <f t="shared" si="130"/>
        <v>0</v>
      </c>
      <c r="T294" s="285">
        <f t="shared" si="130"/>
        <v>0</v>
      </c>
      <c r="U294" s="285">
        <f t="shared" si="130"/>
        <v>5000</v>
      </c>
      <c r="V294" s="285">
        <f t="shared" si="130"/>
        <v>0</v>
      </c>
      <c r="W294" s="287"/>
      <c r="Y294" s="287"/>
      <c r="Z294" s="287"/>
      <c r="AA294" s="287"/>
      <c r="AB294" s="287"/>
    </row>
    <row r="295" spans="1:28" s="268" customFormat="1" ht="41.25" customHeight="1">
      <c r="A295" s="260">
        <v>1</v>
      </c>
      <c r="B295" s="273" t="s">
        <v>1029</v>
      </c>
      <c r="C295" s="262"/>
      <c r="D295" s="260"/>
      <c r="E295" s="274"/>
      <c r="F295" s="274"/>
      <c r="G295" s="260"/>
      <c r="H295" s="275" t="s">
        <v>1030</v>
      </c>
      <c r="I295" s="276">
        <v>30000</v>
      </c>
      <c r="J295" s="276">
        <v>30000</v>
      </c>
      <c r="K295" s="276"/>
      <c r="L295" s="276"/>
      <c r="M295" s="276">
        <v>5000</v>
      </c>
      <c r="N295" s="276">
        <f t="shared" si="123"/>
        <v>0</v>
      </c>
      <c r="O295" s="276"/>
      <c r="P295" s="276"/>
      <c r="Q295" s="276"/>
      <c r="R295" s="276"/>
      <c r="S295" s="296"/>
      <c r="T295" s="276">
        <f t="shared" si="128"/>
        <v>0</v>
      </c>
      <c r="U295" s="276">
        <f t="shared" si="129"/>
        <v>5000</v>
      </c>
      <c r="V295" s="296">
        <v>0</v>
      </c>
      <c r="W295" s="259"/>
      <c r="Y295" s="259"/>
      <c r="Z295" s="259"/>
      <c r="AA295" s="259"/>
      <c r="AB295" s="259"/>
    </row>
    <row r="296" spans="1:28" s="268" customFormat="1" ht="60.4" customHeight="1">
      <c r="A296" s="261" t="s">
        <v>560</v>
      </c>
      <c r="B296" s="290" t="s">
        <v>202</v>
      </c>
      <c r="C296" s="262"/>
      <c r="D296" s="261"/>
      <c r="E296" s="274"/>
      <c r="F296" s="274"/>
      <c r="G296" s="261"/>
      <c r="H296" s="263"/>
      <c r="I296" s="264"/>
      <c r="J296" s="264"/>
      <c r="K296" s="264"/>
      <c r="L296" s="264"/>
      <c r="M296" s="264"/>
      <c r="N296" s="276">
        <f t="shared" si="123"/>
        <v>0</v>
      </c>
      <c r="O296" s="264"/>
      <c r="P296" s="264"/>
      <c r="Q296" s="276"/>
      <c r="R296" s="276"/>
      <c r="S296" s="296"/>
      <c r="T296" s="276">
        <f t="shared" si="128"/>
        <v>0</v>
      </c>
      <c r="U296" s="276">
        <f t="shared" si="129"/>
        <v>0</v>
      </c>
      <c r="V296" s="296">
        <v>0</v>
      </c>
      <c r="W296" s="259"/>
      <c r="Y296" s="259"/>
      <c r="Z296" s="259"/>
      <c r="AA296" s="259"/>
      <c r="AB296" s="259"/>
    </row>
    <row r="297" spans="1:28" s="268" customFormat="1" ht="37.5" customHeight="1">
      <c r="A297" s="261" t="s">
        <v>561</v>
      </c>
      <c r="B297" s="290" t="s">
        <v>562</v>
      </c>
      <c r="C297" s="262"/>
      <c r="D297" s="261"/>
      <c r="E297" s="274"/>
      <c r="F297" s="274"/>
      <c r="G297" s="261"/>
      <c r="H297" s="263"/>
      <c r="I297" s="264">
        <f>I298+I301+I312</f>
        <v>243740</v>
      </c>
      <c r="J297" s="264">
        <f t="shared" ref="J297:M297" si="131">J298+J301+J312</f>
        <v>173605</v>
      </c>
      <c r="K297" s="264">
        <f t="shared" si="131"/>
        <v>15191</v>
      </c>
      <c r="L297" s="264">
        <f t="shared" si="131"/>
        <v>15191</v>
      </c>
      <c r="M297" s="264">
        <f t="shared" si="131"/>
        <v>132420.05499999999</v>
      </c>
      <c r="N297" s="264">
        <f t="shared" ref="N297:U297" si="132">N298+N301+N312</f>
        <v>125140.05499999999</v>
      </c>
      <c r="O297" s="264">
        <f t="shared" si="132"/>
        <v>7600</v>
      </c>
      <c r="P297" s="264">
        <f t="shared" si="132"/>
        <v>46746</v>
      </c>
      <c r="Q297" s="264">
        <f t="shared" si="132"/>
        <v>46424</v>
      </c>
      <c r="R297" s="264">
        <f t="shared" si="132"/>
        <v>22070.055</v>
      </c>
      <c r="S297" s="264">
        <f t="shared" si="132"/>
        <v>2300</v>
      </c>
      <c r="T297" s="264">
        <f t="shared" si="132"/>
        <v>0</v>
      </c>
      <c r="U297" s="264">
        <f t="shared" si="132"/>
        <v>7280</v>
      </c>
      <c r="V297" s="264">
        <f>V298+V301+V312</f>
        <v>125140.05499999999</v>
      </c>
      <c r="W297" s="259"/>
      <c r="Y297" s="259"/>
      <c r="Z297" s="259"/>
      <c r="AA297" s="259"/>
      <c r="AB297" s="259"/>
    </row>
    <row r="298" spans="1:28" s="268" customFormat="1" ht="46.5" customHeight="1">
      <c r="A298" s="271" t="s">
        <v>408</v>
      </c>
      <c r="B298" s="272" t="s">
        <v>35</v>
      </c>
      <c r="C298" s="262"/>
      <c r="D298" s="261"/>
      <c r="E298" s="274"/>
      <c r="F298" s="274"/>
      <c r="G298" s="261"/>
      <c r="H298" s="263"/>
      <c r="I298" s="264">
        <f>SUM(I299:I300)</f>
        <v>29000</v>
      </c>
      <c r="J298" s="264">
        <f t="shared" ref="J298:M298" si="133">SUM(J299:J300)</f>
        <v>29000</v>
      </c>
      <c r="K298" s="264">
        <f t="shared" si="133"/>
        <v>14491</v>
      </c>
      <c r="L298" s="264">
        <f t="shared" si="133"/>
        <v>14491</v>
      </c>
      <c r="M298" s="264">
        <f t="shared" si="133"/>
        <v>14470</v>
      </c>
      <c r="N298" s="264">
        <f t="shared" ref="N298:V298" si="134">SUM(N299:N300)</f>
        <v>14470</v>
      </c>
      <c r="O298" s="264">
        <f t="shared" si="134"/>
        <v>7600</v>
      </c>
      <c r="P298" s="264">
        <f t="shared" si="134"/>
        <v>6870</v>
      </c>
      <c r="Q298" s="264">
        <f t="shared" si="134"/>
        <v>0</v>
      </c>
      <c r="R298" s="264">
        <f t="shared" si="134"/>
        <v>0</v>
      </c>
      <c r="S298" s="264">
        <f t="shared" si="134"/>
        <v>0</v>
      </c>
      <c r="T298" s="264">
        <f t="shared" si="134"/>
        <v>0</v>
      </c>
      <c r="U298" s="264">
        <f t="shared" si="134"/>
        <v>0</v>
      </c>
      <c r="V298" s="264">
        <f t="shared" si="134"/>
        <v>14470</v>
      </c>
      <c r="W298" s="259"/>
      <c r="Y298" s="259"/>
      <c r="Z298" s="259"/>
      <c r="AA298" s="259"/>
      <c r="AB298" s="259"/>
    </row>
    <row r="299" spans="1:28" s="268" customFormat="1" ht="59.25" customHeight="1">
      <c r="A299" s="260">
        <v>1</v>
      </c>
      <c r="B299" s="273" t="s">
        <v>563</v>
      </c>
      <c r="C299" s="262" t="s">
        <v>39</v>
      </c>
      <c r="D299" s="260" t="s">
        <v>229</v>
      </c>
      <c r="E299" s="274">
        <v>2019</v>
      </c>
      <c r="F299" s="274">
        <v>2021</v>
      </c>
      <c r="G299" s="260" t="s">
        <v>786</v>
      </c>
      <c r="H299" s="275" t="s">
        <v>787</v>
      </c>
      <c r="I299" s="276">
        <v>14500</v>
      </c>
      <c r="J299" s="276">
        <v>14500</v>
      </c>
      <c r="K299" s="276">
        <v>9861</v>
      </c>
      <c r="L299" s="276">
        <v>9861</v>
      </c>
      <c r="M299" s="276">
        <v>4600</v>
      </c>
      <c r="N299" s="276">
        <f t="shared" si="123"/>
        <v>4600</v>
      </c>
      <c r="O299" s="276">
        <v>4600</v>
      </c>
      <c r="P299" s="276"/>
      <c r="Q299" s="276"/>
      <c r="R299" s="276"/>
      <c r="S299" s="296"/>
      <c r="T299" s="276">
        <f t="shared" si="128"/>
        <v>0</v>
      </c>
      <c r="U299" s="276">
        <f t="shared" si="129"/>
        <v>0</v>
      </c>
      <c r="V299" s="296">
        <v>4600</v>
      </c>
      <c r="W299" s="259"/>
      <c r="Y299" s="259">
        <v>1</v>
      </c>
      <c r="Z299" s="259"/>
      <c r="AA299" s="259"/>
      <c r="AB299" s="259"/>
    </row>
    <row r="300" spans="1:28" s="268" customFormat="1" ht="63" customHeight="1">
      <c r="A300" s="260">
        <v>2</v>
      </c>
      <c r="B300" s="273" t="s">
        <v>564</v>
      </c>
      <c r="C300" s="262" t="s">
        <v>39</v>
      </c>
      <c r="D300" s="260" t="s">
        <v>229</v>
      </c>
      <c r="E300" s="274">
        <v>2019</v>
      </c>
      <c r="F300" s="274">
        <v>2022</v>
      </c>
      <c r="G300" s="260" t="s">
        <v>788</v>
      </c>
      <c r="H300" s="275" t="s">
        <v>789</v>
      </c>
      <c r="I300" s="276">
        <v>14500</v>
      </c>
      <c r="J300" s="276">
        <v>14500</v>
      </c>
      <c r="K300" s="276">
        <v>4630</v>
      </c>
      <c r="L300" s="276">
        <v>4630</v>
      </c>
      <c r="M300" s="276">
        <v>9870</v>
      </c>
      <c r="N300" s="276">
        <f t="shared" si="123"/>
        <v>9870</v>
      </c>
      <c r="O300" s="276">
        <v>3000</v>
      </c>
      <c r="P300" s="276">
        <v>6870</v>
      </c>
      <c r="Q300" s="276"/>
      <c r="R300" s="276"/>
      <c r="S300" s="296"/>
      <c r="T300" s="276">
        <f t="shared" si="128"/>
        <v>0</v>
      </c>
      <c r="U300" s="276">
        <f t="shared" si="129"/>
        <v>0</v>
      </c>
      <c r="V300" s="296">
        <v>9870</v>
      </c>
      <c r="W300" s="259"/>
      <c r="Y300" s="259">
        <v>1</v>
      </c>
      <c r="Z300" s="259"/>
      <c r="AA300" s="259"/>
      <c r="AB300" s="259"/>
    </row>
    <row r="301" spans="1:28" s="268" customFormat="1">
      <c r="A301" s="271" t="s">
        <v>412</v>
      </c>
      <c r="B301" s="272" t="s">
        <v>36</v>
      </c>
      <c r="C301" s="262"/>
      <c r="D301" s="261"/>
      <c r="E301" s="274"/>
      <c r="F301" s="274"/>
      <c r="G301" s="261"/>
      <c r="H301" s="263"/>
      <c r="I301" s="264">
        <f>I302</f>
        <v>179140</v>
      </c>
      <c r="J301" s="264">
        <f t="shared" ref="J301:U301" si="135">J302</f>
        <v>112005</v>
      </c>
      <c r="K301" s="264">
        <f t="shared" si="135"/>
        <v>700</v>
      </c>
      <c r="L301" s="264">
        <f t="shared" si="135"/>
        <v>700</v>
      </c>
      <c r="M301" s="264">
        <f t="shared" si="135"/>
        <v>111062.05499999999</v>
      </c>
      <c r="N301" s="264">
        <f t="shared" si="135"/>
        <v>110670.05499999999</v>
      </c>
      <c r="O301" s="264">
        <f t="shared" si="135"/>
        <v>0</v>
      </c>
      <c r="P301" s="264">
        <f t="shared" si="135"/>
        <v>39876</v>
      </c>
      <c r="Q301" s="264">
        <f t="shared" si="135"/>
        <v>46424</v>
      </c>
      <c r="R301" s="264">
        <f t="shared" si="135"/>
        <v>22070.055</v>
      </c>
      <c r="S301" s="264">
        <f t="shared" si="135"/>
        <v>2300</v>
      </c>
      <c r="T301" s="264">
        <f t="shared" si="135"/>
        <v>0</v>
      </c>
      <c r="U301" s="264">
        <f t="shared" si="135"/>
        <v>392</v>
      </c>
      <c r="V301" s="264">
        <f>V302</f>
        <v>110670.05499999999</v>
      </c>
      <c r="W301" s="259"/>
      <c r="Y301" s="259"/>
      <c r="Z301" s="259"/>
      <c r="AA301" s="259"/>
      <c r="AB301" s="259"/>
    </row>
    <row r="302" spans="1:28" s="288" customFormat="1" ht="43.5" customHeight="1">
      <c r="A302" s="279" t="s">
        <v>96</v>
      </c>
      <c r="B302" s="280" t="s">
        <v>123</v>
      </c>
      <c r="C302" s="306"/>
      <c r="D302" s="282"/>
      <c r="E302" s="307"/>
      <c r="F302" s="307"/>
      <c r="G302" s="282"/>
      <c r="H302" s="284"/>
      <c r="I302" s="285">
        <f>SUM(I303:I311)</f>
        <v>179140</v>
      </c>
      <c r="J302" s="285">
        <f t="shared" ref="J302:M302" si="136">SUM(J303:J311)</f>
        <v>112005</v>
      </c>
      <c r="K302" s="285">
        <f t="shared" si="136"/>
        <v>700</v>
      </c>
      <c r="L302" s="285">
        <f t="shared" si="136"/>
        <v>700</v>
      </c>
      <c r="M302" s="285">
        <f t="shared" si="136"/>
        <v>111062.05499999999</v>
      </c>
      <c r="N302" s="285">
        <f t="shared" ref="N302:U302" si="137">SUM(N303:N311)</f>
        <v>110670.05499999999</v>
      </c>
      <c r="O302" s="285">
        <f t="shared" si="137"/>
        <v>0</v>
      </c>
      <c r="P302" s="285">
        <f t="shared" si="137"/>
        <v>39876</v>
      </c>
      <c r="Q302" s="285">
        <f t="shared" si="137"/>
        <v>46424</v>
      </c>
      <c r="R302" s="285">
        <f t="shared" si="137"/>
        <v>22070.055</v>
      </c>
      <c r="S302" s="285">
        <f t="shared" si="137"/>
        <v>2300</v>
      </c>
      <c r="T302" s="285">
        <f t="shared" si="137"/>
        <v>0</v>
      </c>
      <c r="U302" s="285">
        <f t="shared" si="137"/>
        <v>392</v>
      </c>
      <c r="V302" s="285">
        <f>SUM(V303:V311)</f>
        <v>110670.05499999999</v>
      </c>
      <c r="W302" s="308"/>
      <c r="Y302" s="308"/>
      <c r="Z302" s="308"/>
      <c r="AA302" s="308"/>
      <c r="AB302" s="308"/>
    </row>
    <row r="303" spans="1:28" s="268" customFormat="1" ht="42" customHeight="1">
      <c r="A303" s="305">
        <v>1</v>
      </c>
      <c r="B303" s="309" t="s">
        <v>565</v>
      </c>
      <c r="C303" s="262" t="s">
        <v>39</v>
      </c>
      <c r="D303" s="260" t="s">
        <v>229</v>
      </c>
      <c r="E303" s="274">
        <v>2021</v>
      </c>
      <c r="F303" s="274">
        <v>2023</v>
      </c>
      <c r="G303" s="260" t="s">
        <v>790</v>
      </c>
      <c r="H303" s="275" t="s">
        <v>791</v>
      </c>
      <c r="I303" s="295">
        <v>9200</v>
      </c>
      <c r="J303" s="295">
        <v>7700</v>
      </c>
      <c r="K303" s="295">
        <v>200</v>
      </c>
      <c r="L303" s="295">
        <v>200</v>
      </c>
      <c r="M303" s="295">
        <v>7500</v>
      </c>
      <c r="N303" s="276">
        <f t="shared" si="123"/>
        <v>7340</v>
      </c>
      <c r="O303" s="276"/>
      <c r="P303" s="276">
        <v>5000</v>
      </c>
      <c r="Q303" s="276">
        <v>2200</v>
      </c>
      <c r="R303" s="276">
        <v>140</v>
      </c>
      <c r="S303" s="296"/>
      <c r="T303" s="276">
        <f t="shared" si="128"/>
        <v>0</v>
      </c>
      <c r="U303" s="276">
        <f t="shared" si="129"/>
        <v>160</v>
      </c>
      <c r="V303" s="296">
        <v>7340</v>
      </c>
      <c r="W303" s="259"/>
      <c r="Y303" s="259"/>
      <c r="Z303" s="259">
        <v>1</v>
      </c>
      <c r="AA303" s="259"/>
      <c r="AB303" s="259"/>
    </row>
    <row r="304" spans="1:28" s="268" customFormat="1" ht="70.5" customHeight="1">
      <c r="A304" s="260">
        <v>2</v>
      </c>
      <c r="B304" s="273" t="s">
        <v>566</v>
      </c>
      <c r="C304" s="262" t="s">
        <v>39</v>
      </c>
      <c r="D304" s="260" t="s">
        <v>229</v>
      </c>
      <c r="E304" s="274">
        <v>2021</v>
      </c>
      <c r="F304" s="274">
        <v>2023</v>
      </c>
      <c r="G304" s="260" t="s">
        <v>788</v>
      </c>
      <c r="H304" s="275" t="s">
        <v>792</v>
      </c>
      <c r="I304" s="276">
        <v>14400</v>
      </c>
      <c r="J304" s="276">
        <v>14400</v>
      </c>
      <c r="K304" s="276">
        <v>200</v>
      </c>
      <c r="L304" s="276">
        <v>200</v>
      </c>
      <c r="M304" s="276">
        <v>14200</v>
      </c>
      <c r="N304" s="276">
        <f t="shared" si="123"/>
        <v>13978</v>
      </c>
      <c r="O304" s="276"/>
      <c r="P304" s="276">
        <v>5000</v>
      </c>
      <c r="Q304" s="276">
        <v>8000</v>
      </c>
      <c r="R304" s="276">
        <v>978</v>
      </c>
      <c r="S304" s="296"/>
      <c r="T304" s="276">
        <f t="shared" si="128"/>
        <v>0</v>
      </c>
      <c r="U304" s="276">
        <f t="shared" si="129"/>
        <v>222</v>
      </c>
      <c r="V304" s="296">
        <v>13978</v>
      </c>
      <c r="W304" s="259"/>
      <c r="Y304" s="259"/>
      <c r="Z304" s="259">
        <v>1</v>
      </c>
      <c r="AA304" s="259"/>
      <c r="AB304" s="259"/>
    </row>
    <row r="305" spans="1:28" s="268" customFormat="1" ht="33.75" customHeight="1">
      <c r="A305" s="260">
        <v>3</v>
      </c>
      <c r="B305" s="309" t="s">
        <v>567</v>
      </c>
      <c r="C305" s="262" t="s">
        <v>39</v>
      </c>
      <c r="D305" s="294" t="s">
        <v>230</v>
      </c>
      <c r="E305" s="274">
        <v>2021</v>
      </c>
      <c r="F305" s="274">
        <v>2023</v>
      </c>
      <c r="G305" s="260" t="s">
        <v>790</v>
      </c>
      <c r="H305" s="275" t="s">
        <v>793</v>
      </c>
      <c r="I305" s="295">
        <v>9000</v>
      </c>
      <c r="J305" s="295">
        <f>I305-2700</f>
        <v>6300</v>
      </c>
      <c r="K305" s="295">
        <v>100</v>
      </c>
      <c r="L305" s="295">
        <v>100</v>
      </c>
      <c r="M305" s="295">
        <v>6200</v>
      </c>
      <c r="N305" s="276">
        <f t="shared" si="123"/>
        <v>6200</v>
      </c>
      <c r="O305" s="295"/>
      <c r="P305" s="295">
        <v>6000</v>
      </c>
      <c r="Q305" s="295">
        <v>200</v>
      </c>
      <c r="R305" s="295"/>
      <c r="S305" s="296"/>
      <c r="T305" s="276">
        <f t="shared" si="128"/>
        <v>0</v>
      </c>
      <c r="U305" s="276">
        <f t="shared" si="129"/>
        <v>0</v>
      </c>
      <c r="V305" s="296">
        <v>6200</v>
      </c>
      <c r="W305" s="259"/>
      <c r="Y305" s="259"/>
      <c r="Z305" s="259">
        <v>1</v>
      </c>
      <c r="AA305" s="259"/>
      <c r="AB305" s="259"/>
    </row>
    <row r="306" spans="1:28" s="268" customFormat="1" ht="39.75" customHeight="1">
      <c r="A306" s="305">
        <v>4</v>
      </c>
      <c r="B306" s="309" t="s">
        <v>568</v>
      </c>
      <c r="C306" s="262" t="s">
        <v>39</v>
      </c>
      <c r="D306" s="294" t="s">
        <v>230</v>
      </c>
      <c r="E306" s="274">
        <v>2021</v>
      </c>
      <c r="F306" s="274">
        <v>2023</v>
      </c>
      <c r="G306" s="260" t="s">
        <v>790</v>
      </c>
      <c r="H306" s="275" t="s">
        <v>794</v>
      </c>
      <c r="I306" s="295">
        <v>9000</v>
      </c>
      <c r="J306" s="295">
        <f>I306-2700</f>
        <v>6300</v>
      </c>
      <c r="K306" s="295">
        <v>100</v>
      </c>
      <c r="L306" s="295">
        <v>100</v>
      </c>
      <c r="M306" s="295">
        <v>6200</v>
      </c>
      <c r="N306" s="276">
        <f t="shared" si="123"/>
        <v>6200</v>
      </c>
      <c r="O306" s="295"/>
      <c r="P306" s="295">
        <v>5876</v>
      </c>
      <c r="Q306" s="295">
        <v>324</v>
      </c>
      <c r="R306" s="295"/>
      <c r="S306" s="296"/>
      <c r="T306" s="276">
        <f t="shared" si="128"/>
        <v>0</v>
      </c>
      <c r="U306" s="276">
        <f t="shared" si="129"/>
        <v>0</v>
      </c>
      <c r="V306" s="296">
        <v>6200</v>
      </c>
      <c r="W306" s="259"/>
      <c r="Y306" s="259"/>
      <c r="Z306" s="259">
        <v>1</v>
      </c>
      <c r="AA306" s="259"/>
      <c r="AB306" s="259"/>
    </row>
    <row r="307" spans="1:28" s="268" customFormat="1" ht="43.5" customHeight="1">
      <c r="A307" s="260">
        <v>5</v>
      </c>
      <c r="B307" s="273" t="s">
        <v>569</v>
      </c>
      <c r="C307" s="262" t="s">
        <v>39</v>
      </c>
      <c r="D307" s="260" t="s">
        <v>229</v>
      </c>
      <c r="E307" s="274">
        <v>2022</v>
      </c>
      <c r="F307" s="274">
        <v>2024</v>
      </c>
      <c r="G307" s="260"/>
      <c r="H307" s="275" t="s">
        <v>795</v>
      </c>
      <c r="I307" s="276">
        <v>14950</v>
      </c>
      <c r="J307" s="276">
        <v>14950</v>
      </c>
      <c r="K307" s="295">
        <v>100</v>
      </c>
      <c r="L307" s="295">
        <v>100</v>
      </c>
      <c r="M307" s="276">
        <v>14662.055</v>
      </c>
      <c r="N307" s="276">
        <f t="shared" si="123"/>
        <v>14662.055</v>
      </c>
      <c r="O307" s="276"/>
      <c r="P307" s="276">
        <v>5000</v>
      </c>
      <c r="Q307" s="276">
        <v>9500</v>
      </c>
      <c r="R307" s="276">
        <v>162.05500000000001</v>
      </c>
      <c r="S307" s="296"/>
      <c r="T307" s="276">
        <f t="shared" si="128"/>
        <v>0</v>
      </c>
      <c r="U307" s="276">
        <f t="shared" si="129"/>
        <v>0</v>
      </c>
      <c r="V307" s="296">
        <v>14662.055</v>
      </c>
      <c r="W307" s="259"/>
      <c r="Y307" s="259"/>
      <c r="Z307" s="259">
        <v>1</v>
      </c>
      <c r="AA307" s="259"/>
      <c r="AB307" s="259"/>
    </row>
    <row r="308" spans="1:28" s="268" customFormat="1" ht="43.5" customHeight="1">
      <c r="A308" s="260">
        <v>6</v>
      </c>
      <c r="B308" s="273" t="s">
        <v>570</v>
      </c>
      <c r="C308" s="262" t="s">
        <v>39</v>
      </c>
      <c r="D308" s="260" t="s">
        <v>229</v>
      </c>
      <c r="E308" s="274">
        <v>2022</v>
      </c>
      <c r="F308" s="274">
        <v>2023</v>
      </c>
      <c r="G308" s="260"/>
      <c r="H308" s="275" t="s">
        <v>796</v>
      </c>
      <c r="I308" s="276">
        <v>8000</v>
      </c>
      <c r="J308" s="276">
        <v>8000</v>
      </c>
      <c r="K308" s="276"/>
      <c r="L308" s="276"/>
      <c r="M308" s="276">
        <v>8000</v>
      </c>
      <c r="N308" s="276">
        <f t="shared" si="123"/>
        <v>7990</v>
      </c>
      <c r="O308" s="276"/>
      <c r="P308" s="276">
        <v>5000</v>
      </c>
      <c r="Q308" s="276">
        <v>2700</v>
      </c>
      <c r="R308" s="276">
        <v>290</v>
      </c>
      <c r="S308" s="296"/>
      <c r="T308" s="276">
        <f t="shared" si="128"/>
        <v>0</v>
      </c>
      <c r="U308" s="276">
        <f t="shared" si="129"/>
        <v>10</v>
      </c>
      <c r="V308" s="296">
        <v>7990</v>
      </c>
      <c r="W308" s="259"/>
      <c r="Y308" s="259"/>
      <c r="Z308" s="259">
        <v>1</v>
      </c>
      <c r="AA308" s="259"/>
      <c r="AB308" s="259"/>
    </row>
    <row r="309" spans="1:28" s="268" customFormat="1" ht="43.5" customHeight="1">
      <c r="A309" s="260">
        <v>7</v>
      </c>
      <c r="B309" s="273" t="s">
        <v>571</v>
      </c>
      <c r="C309" s="262" t="s">
        <v>39</v>
      </c>
      <c r="D309" s="260" t="s">
        <v>629</v>
      </c>
      <c r="E309" s="274">
        <v>2021</v>
      </c>
      <c r="F309" s="274">
        <v>2023</v>
      </c>
      <c r="G309" s="260"/>
      <c r="H309" s="275" t="s">
        <v>797</v>
      </c>
      <c r="I309" s="276">
        <v>14990</v>
      </c>
      <c r="J309" s="276">
        <v>5000</v>
      </c>
      <c r="K309" s="276"/>
      <c r="L309" s="276"/>
      <c r="M309" s="276">
        <v>5000</v>
      </c>
      <c r="N309" s="276">
        <f t="shared" si="123"/>
        <v>5000</v>
      </c>
      <c r="O309" s="276"/>
      <c r="P309" s="276"/>
      <c r="Q309" s="276">
        <v>4000</v>
      </c>
      <c r="R309" s="276">
        <v>1000</v>
      </c>
      <c r="S309" s="296"/>
      <c r="T309" s="276">
        <f t="shared" si="128"/>
        <v>0</v>
      </c>
      <c r="U309" s="276">
        <f t="shared" si="129"/>
        <v>0</v>
      </c>
      <c r="V309" s="296">
        <v>5000</v>
      </c>
      <c r="W309" s="259"/>
      <c r="Y309" s="259"/>
      <c r="Z309" s="259">
        <v>1</v>
      </c>
      <c r="AA309" s="259"/>
      <c r="AB309" s="259"/>
    </row>
    <row r="310" spans="1:28" s="268" customFormat="1" ht="65.25" customHeight="1">
      <c r="A310" s="260">
        <v>8</v>
      </c>
      <c r="B310" s="273" t="s">
        <v>572</v>
      </c>
      <c r="C310" s="262" t="s">
        <v>38</v>
      </c>
      <c r="D310" s="260" t="s">
        <v>632</v>
      </c>
      <c r="E310" s="274">
        <v>2021</v>
      </c>
      <c r="F310" s="274">
        <v>2023</v>
      </c>
      <c r="G310" s="260" t="s">
        <v>798</v>
      </c>
      <c r="H310" s="275" t="s">
        <v>799</v>
      </c>
      <c r="I310" s="276">
        <v>44600</v>
      </c>
      <c r="J310" s="276">
        <v>29355</v>
      </c>
      <c r="K310" s="276"/>
      <c r="L310" s="276"/>
      <c r="M310" s="276">
        <v>29300</v>
      </c>
      <c r="N310" s="276">
        <f t="shared" si="123"/>
        <v>29300</v>
      </c>
      <c r="O310" s="276"/>
      <c r="P310" s="276">
        <v>8000</v>
      </c>
      <c r="Q310" s="276">
        <v>16500</v>
      </c>
      <c r="R310" s="276">
        <v>3500</v>
      </c>
      <c r="S310" s="296">
        <v>1300</v>
      </c>
      <c r="T310" s="276">
        <f t="shared" si="128"/>
        <v>0</v>
      </c>
      <c r="U310" s="276">
        <f t="shared" si="129"/>
        <v>0</v>
      </c>
      <c r="V310" s="296">
        <v>29300</v>
      </c>
      <c r="W310" s="259"/>
      <c r="Y310" s="259"/>
      <c r="Z310" s="259">
        <v>1</v>
      </c>
      <c r="AA310" s="259"/>
      <c r="AB310" s="259"/>
    </row>
    <row r="311" spans="1:28" s="268" customFormat="1" ht="42" customHeight="1">
      <c r="A311" s="260">
        <v>9</v>
      </c>
      <c r="B311" s="273" t="s">
        <v>573</v>
      </c>
      <c r="C311" s="262" t="s">
        <v>38</v>
      </c>
      <c r="D311" s="260" t="s">
        <v>229</v>
      </c>
      <c r="E311" s="274">
        <v>2023</v>
      </c>
      <c r="F311" s="274">
        <v>2025</v>
      </c>
      <c r="G311" s="260"/>
      <c r="H311" s="275" t="s">
        <v>800</v>
      </c>
      <c r="I311" s="276">
        <v>55000</v>
      </c>
      <c r="J311" s="276">
        <v>20000</v>
      </c>
      <c r="K311" s="276"/>
      <c r="L311" s="276"/>
      <c r="M311" s="276">
        <v>20000</v>
      </c>
      <c r="N311" s="276">
        <f t="shared" si="123"/>
        <v>20000</v>
      </c>
      <c r="O311" s="276"/>
      <c r="P311" s="276"/>
      <c r="Q311" s="276">
        <v>3000</v>
      </c>
      <c r="R311" s="276">
        <v>16000</v>
      </c>
      <c r="S311" s="296">
        <v>1000</v>
      </c>
      <c r="T311" s="276">
        <f t="shared" si="128"/>
        <v>0</v>
      </c>
      <c r="U311" s="276">
        <f t="shared" si="129"/>
        <v>0</v>
      </c>
      <c r="V311" s="296">
        <v>20000</v>
      </c>
      <c r="W311" s="259"/>
      <c r="Y311" s="259"/>
      <c r="Z311" s="259">
        <v>1</v>
      </c>
      <c r="AA311" s="259"/>
      <c r="AB311" s="259"/>
    </row>
    <row r="312" spans="1:28" s="268" customFormat="1" ht="37.5" customHeight="1">
      <c r="A312" s="271" t="s">
        <v>350</v>
      </c>
      <c r="B312" s="290" t="s">
        <v>99</v>
      </c>
      <c r="C312" s="262"/>
      <c r="D312" s="261"/>
      <c r="E312" s="278"/>
      <c r="F312" s="278"/>
      <c r="G312" s="261"/>
      <c r="H312" s="263"/>
      <c r="I312" s="264">
        <f>SUM(I313:I315)</f>
        <v>35600</v>
      </c>
      <c r="J312" s="264">
        <f t="shared" ref="J312:V312" si="138">SUM(J313:J315)</f>
        <v>32600</v>
      </c>
      <c r="K312" s="264">
        <f t="shared" si="138"/>
        <v>0</v>
      </c>
      <c r="L312" s="264">
        <f t="shared" si="138"/>
        <v>0</v>
      </c>
      <c r="M312" s="264">
        <f t="shared" si="138"/>
        <v>6888</v>
      </c>
      <c r="N312" s="264">
        <f t="shared" si="138"/>
        <v>0</v>
      </c>
      <c r="O312" s="264">
        <f t="shared" si="138"/>
        <v>0</v>
      </c>
      <c r="P312" s="264">
        <f t="shared" si="138"/>
        <v>0</v>
      </c>
      <c r="Q312" s="264">
        <f t="shared" si="138"/>
        <v>0</v>
      </c>
      <c r="R312" s="264">
        <f t="shared" si="138"/>
        <v>0</v>
      </c>
      <c r="S312" s="264">
        <f t="shared" si="138"/>
        <v>0</v>
      </c>
      <c r="T312" s="264">
        <f t="shared" si="138"/>
        <v>0</v>
      </c>
      <c r="U312" s="264">
        <f t="shared" si="138"/>
        <v>6888</v>
      </c>
      <c r="V312" s="264">
        <f t="shared" si="138"/>
        <v>0</v>
      </c>
      <c r="W312" s="259"/>
      <c r="Y312" s="259"/>
      <c r="Z312" s="259"/>
      <c r="AA312" s="259"/>
      <c r="AB312" s="259"/>
    </row>
    <row r="313" spans="1:28" s="268" customFormat="1" ht="44.25" customHeight="1">
      <c r="A313" s="260">
        <v>1</v>
      </c>
      <c r="B313" s="273" t="s">
        <v>574</v>
      </c>
      <c r="C313" s="262" t="s">
        <v>39</v>
      </c>
      <c r="D313" s="260"/>
      <c r="E313" s="274"/>
      <c r="F313" s="274"/>
      <c r="G313" s="260"/>
      <c r="H313" s="275" t="s">
        <v>980</v>
      </c>
      <c r="I313" s="276">
        <v>14600</v>
      </c>
      <c r="J313" s="276">
        <v>14600</v>
      </c>
      <c r="K313" s="276"/>
      <c r="L313" s="276"/>
      <c r="M313" s="276">
        <v>3000</v>
      </c>
      <c r="N313" s="276">
        <f t="shared" si="123"/>
        <v>0</v>
      </c>
      <c r="O313" s="276"/>
      <c r="P313" s="276"/>
      <c r="Q313" s="276"/>
      <c r="R313" s="276"/>
      <c r="S313" s="296"/>
      <c r="T313" s="276">
        <f t="shared" si="128"/>
        <v>0</v>
      </c>
      <c r="U313" s="276">
        <f t="shared" si="129"/>
        <v>3000</v>
      </c>
      <c r="V313" s="296">
        <v>0</v>
      </c>
      <c r="W313" s="259"/>
      <c r="Y313" s="259"/>
      <c r="Z313" s="259"/>
      <c r="AA313" s="259"/>
      <c r="AB313" s="259">
        <v>1</v>
      </c>
    </row>
    <row r="314" spans="1:28" s="268" customFormat="1" ht="48.75" customHeight="1">
      <c r="A314" s="260">
        <v>2</v>
      </c>
      <c r="B314" s="273" t="s">
        <v>575</v>
      </c>
      <c r="C314" s="262" t="s">
        <v>39</v>
      </c>
      <c r="D314" s="260"/>
      <c r="E314" s="274"/>
      <c r="F314" s="274"/>
      <c r="G314" s="260"/>
      <c r="H314" s="275" t="s">
        <v>981</v>
      </c>
      <c r="I314" s="276">
        <v>10000</v>
      </c>
      <c r="J314" s="276">
        <v>10000</v>
      </c>
      <c r="K314" s="276"/>
      <c r="L314" s="276"/>
      <c r="M314" s="276">
        <v>3000</v>
      </c>
      <c r="N314" s="276">
        <f t="shared" si="123"/>
        <v>0</v>
      </c>
      <c r="O314" s="276"/>
      <c r="P314" s="276"/>
      <c r="Q314" s="276"/>
      <c r="R314" s="276"/>
      <c r="S314" s="296"/>
      <c r="T314" s="276">
        <f t="shared" si="128"/>
        <v>0</v>
      </c>
      <c r="U314" s="276">
        <f t="shared" si="129"/>
        <v>3000</v>
      </c>
      <c r="V314" s="296">
        <v>0</v>
      </c>
      <c r="W314" s="547" t="s">
        <v>1082</v>
      </c>
      <c r="Y314" s="259"/>
      <c r="Z314" s="259"/>
      <c r="AA314" s="259"/>
      <c r="AB314" s="259">
        <v>1</v>
      </c>
    </row>
    <row r="315" spans="1:28" s="268" customFormat="1" ht="48.75" customHeight="1">
      <c r="A315" s="260">
        <v>3</v>
      </c>
      <c r="B315" s="273" t="s">
        <v>1031</v>
      </c>
      <c r="C315" s="262"/>
      <c r="D315" s="260"/>
      <c r="E315" s="274"/>
      <c r="F315" s="274"/>
      <c r="G315" s="260"/>
      <c r="H315" s="275" t="s">
        <v>1032</v>
      </c>
      <c r="I315" s="276">
        <v>11000</v>
      </c>
      <c r="J315" s="276">
        <v>8000</v>
      </c>
      <c r="K315" s="276"/>
      <c r="L315" s="276"/>
      <c r="M315" s="276">
        <v>888</v>
      </c>
      <c r="N315" s="276">
        <f t="shared" si="123"/>
        <v>0</v>
      </c>
      <c r="O315" s="276"/>
      <c r="P315" s="276"/>
      <c r="Q315" s="276"/>
      <c r="R315" s="276"/>
      <c r="S315" s="296">
        <v>0</v>
      </c>
      <c r="T315" s="276">
        <f t="shared" si="128"/>
        <v>0</v>
      </c>
      <c r="U315" s="276">
        <f t="shared" si="129"/>
        <v>888</v>
      </c>
      <c r="V315" s="296">
        <v>0</v>
      </c>
      <c r="W315" s="547" t="s">
        <v>1082</v>
      </c>
      <c r="Y315" s="259"/>
      <c r="Z315" s="259"/>
      <c r="AA315" s="259"/>
      <c r="AB315" s="259"/>
    </row>
    <row r="316" spans="1:28" s="268" customFormat="1" ht="20.25" customHeight="1">
      <c r="A316" s="261" t="s">
        <v>576</v>
      </c>
      <c r="B316" s="290" t="s">
        <v>577</v>
      </c>
      <c r="C316" s="262"/>
      <c r="D316" s="261"/>
      <c r="E316" s="274"/>
      <c r="F316" s="274"/>
      <c r="G316" s="261"/>
      <c r="H316" s="263"/>
      <c r="I316" s="264">
        <f>I317+I319</f>
        <v>30500</v>
      </c>
      <c r="J316" s="264">
        <f t="shared" ref="J316:M316" si="139">J317+J319</f>
        <v>12500</v>
      </c>
      <c r="K316" s="264">
        <f t="shared" si="139"/>
        <v>18200</v>
      </c>
      <c r="L316" s="264">
        <f t="shared" si="139"/>
        <v>200</v>
      </c>
      <c r="M316" s="264">
        <f t="shared" si="139"/>
        <v>11301.314</v>
      </c>
      <c r="N316" s="264">
        <f t="shared" ref="N316:V316" si="140">N317+N319</f>
        <v>11301.314</v>
      </c>
      <c r="O316" s="264">
        <f t="shared" si="140"/>
        <v>1816</v>
      </c>
      <c r="P316" s="264">
        <f t="shared" si="140"/>
        <v>4000</v>
      </c>
      <c r="Q316" s="264">
        <f t="shared" si="140"/>
        <v>4000</v>
      </c>
      <c r="R316" s="264">
        <f t="shared" si="140"/>
        <v>1485.3140000000001</v>
      </c>
      <c r="S316" s="264">
        <f t="shared" si="140"/>
        <v>0</v>
      </c>
      <c r="T316" s="264">
        <f t="shared" si="140"/>
        <v>0</v>
      </c>
      <c r="U316" s="264">
        <f t="shared" si="140"/>
        <v>0</v>
      </c>
      <c r="V316" s="264">
        <f t="shared" si="140"/>
        <v>11301.314</v>
      </c>
      <c r="W316" s="259"/>
      <c r="Y316" s="259"/>
      <c r="Z316" s="259"/>
      <c r="AA316" s="259"/>
      <c r="AB316" s="259"/>
    </row>
    <row r="317" spans="1:28" s="268" customFormat="1" ht="44.65" customHeight="1">
      <c r="A317" s="271" t="s">
        <v>408</v>
      </c>
      <c r="B317" s="272" t="s">
        <v>35</v>
      </c>
      <c r="C317" s="262"/>
      <c r="D317" s="261"/>
      <c r="E317" s="274"/>
      <c r="F317" s="274"/>
      <c r="G317" s="261"/>
      <c r="H317" s="263"/>
      <c r="I317" s="264">
        <f>I318</f>
        <v>21000</v>
      </c>
      <c r="J317" s="264">
        <f t="shared" ref="J317:V317" si="141">J318</f>
        <v>3000</v>
      </c>
      <c r="K317" s="264">
        <f t="shared" si="141"/>
        <v>18200</v>
      </c>
      <c r="L317" s="264">
        <f t="shared" si="141"/>
        <v>200</v>
      </c>
      <c r="M317" s="264">
        <f t="shared" si="141"/>
        <v>1816</v>
      </c>
      <c r="N317" s="264">
        <f t="shared" si="141"/>
        <v>1816</v>
      </c>
      <c r="O317" s="264">
        <f t="shared" si="141"/>
        <v>1816</v>
      </c>
      <c r="P317" s="264">
        <f t="shared" si="141"/>
        <v>0</v>
      </c>
      <c r="Q317" s="264">
        <f t="shared" si="141"/>
        <v>0</v>
      </c>
      <c r="R317" s="264">
        <f t="shared" si="141"/>
        <v>0</v>
      </c>
      <c r="S317" s="264">
        <f t="shared" si="141"/>
        <v>0</v>
      </c>
      <c r="T317" s="264">
        <f t="shared" si="141"/>
        <v>0</v>
      </c>
      <c r="U317" s="264">
        <f t="shared" si="141"/>
        <v>0</v>
      </c>
      <c r="V317" s="264">
        <f t="shared" si="141"/>
        <v>1816</v>
      </c>
      <c r="W317" s="259"/>
      <c r="Y317" s="259"/>
      <c r="Z317" s="259"/>
      <c r="AA317" s="259"/>
      <c r="AB317" s="259"/>
    </row>
    <row r="318" spans="1:28" s="268" customFormat="1" ht="51.75" customHeight="1">
      <c r="A318" s="260">
        <v>1</v>
      </c>
      <c r="B318" s="273" t="s">
        <v>578</v>
      </c>
      <c r="C318" s="262" t="s">
        <v>39</v>
      </c>
      <c r="D318" s="260" t="s">
        <v>229</v>
      </c>
      <c r="E318" s="274">
        <v>2020</v>
      </c>
      <c r="F318" s="274">
        <v>2021</v>
      </c>
      <c r="G318" s="260"/>
      <c r="H318" s="275" t="s">
        <v>801</v>
      </c>
      <c r="I318" s="276">
        <v>21000</v>
      </c>
      <c r="J318" s="276">
        <v>3000</v>
      </c>
      <c r="K318" s="276">
        <v>18200</v>
      </c>
      <c r="L318" s="276">
        <v>200</v>
      </c>
      <c r="M318" s="276">
        <v>1816</v>
      </c>
      <c r="N318" s="276">
        <f t="shared" si="123"/>
        <v>1816</v>
      </c>
      <c r="O318" s="276">
        <v>1816</v>
      </c>
      <c r="P318" s="276"/>
      <c r="Q318" s="276"/>
      <c r="R318" s="276"/>
      <c r="S318" s="296"/>
      <c r="T318" s="276">
        <f t="shared" si="128"/>
        <v>0</v>
      </c>
      <c r="U318" s="276">
        <f t="shared" si="129"/>
        <v>0</v>
      </c>
      <c r="V318" s="296">
        <v>1816</v>
      </c>
      <c r="W318" s="259"/>
      <c r="Y318" s="259">
        <v>1</v>
      </c>
      <c r="Z318" s="259"/>
      <c r="AA318" s="259"/>
      <c r="AB318" s="259"/>
    </row>
    <row r="319" spans="1:28" s="268" customFormat="1" ht="38.85" customHeight="1">
      <c r="A319" s="271" t="s">
        <v>412</v>
      </c>
      <c r="B319" s="272" t="s">
        <v>36</v>
      </c>
      <c r="C319" s="262"/>
      <c r="D319" s="261"/>
      <c r="E319" s="274"/>
      <c r="F319" s="274"/>
      <c r="G319" s="261"/>
      <c r="H319" s="263"/>
      <c r="I319" s="264">
        <f>I320</f>
        <v>9500</v>
      </c>
      <c r="J319" s="264">
        <f t="shared" ref="J319:V320" si="142">J320</f>
        <v>9500</v>
      </c>
      <c r="K319" s="264">
        <f t="shared" si="142"/>
        <v>0</v>
      </c>
      <c r="L319" s="264">
        <f t="shared" si="142"/>
        <v>0</v>
      </c>
      <c r="M319" s="264">
        <f t="shared" si="142"/>
        <v>9485.3140000000003</v>
      </c>
      <c r="N319" s="264">
        <f t="shared" si="142"/>
        <v>9485.3140000000003</v>
      </c>
      <c r="O319" s="264">
        <f t="shared" si="142"/>
        <v>0</v>
      </c>
      <c r="P319" s="264">
        <f t="shared" si="142"/>
        <v>4000</v>
      </c>
      <c r="Q319" s="264">
        <f t="shared" si="142"/>
        <v>4000</v>
      </c>
      <c r="R319" s="264">
        <f t="shared" si="142"/>
        <v>1485.3140000000001</v>
      </c>
      <c r="S319" s="264">
        <f t="shared" si="142"/>
        <v>0</v>
      </c>
      <c r="T319" s="264">
        <f t="shared" si="142"/>
        <v>0</v>
      </c>
      <c r="U319" s="264">
        <f t="shared" si="142"/>
        <v>0</v>
      </c>
      <c r="V319" s="264">
        <f t="shared" si="142"/>
        <v>9485.3140000000003</v>
      </c>
      <c r="W319" s="259"/>
      <c r="Y319" s="259"/>
      <c r="Z319" s="259"/>
      <c r="AA319" s="259"/>
      <c r="AB319" s="259"/>
    </row>
    <row r="320" spans="1:28" s="288" customFormat="1" ht="42.75" customHeight="1">
      <c r="A320" s="279" t="s">
        <v>96</v>
      </c>
      <c r="B320" s="280" t="s">
        <v>123</v>
      </c>
      <c r="C320" s="306"/>
      <c r="D320" s="282"/>
      <c r="E320" s="307"/>
      <c r="F320" s="307"/>
      <c r="G320" s="282"/>
      <c r="H320" s="284"/>
      <c r="I320" s="285">
        <f>I321</f>
        <v>9500</v>
      </c>
      <c r="J320" s="285">
        <f t="shared" si="142"/>
        <v>9500</v>
      </c>
      <c r="K320" s="285">
        <f t="shared" si="142"/>
        <v>0</v>
      </c>
      <c r="L320" s="285">
        <f t="shared" si="142"/>
        <v>0</v>
      </c>
      <c r="M320" s="285">
        <f t="shared" si="142"/>
        <v>9485.3140000000003</v>
      </c>
      <c r="N320" s="285">
        <f t="shared" ref="N320:V320" si="143">N321</f>
        <v>9485.3140000000003</v>
      </c>
      <c r="O320" s="285">
        <f t="shared" si="143"/>
        <v>0</v>
      </c>
      <c r="P320" s="285">
        <f t="shared" si="143"/>
        <v>4000</v>
      </c>
      <c r="Q320" s="285">
        <f t="shared" si="143"/>
        <v>4000</v>
      </c>
      <c r="R320" s="285">
        <f t="shared" si="143"/>
        <v>1485.3140000000001</v>
      </c>
      <c r="S320" s="285">
        <f t="shared" si="143"/>
        <v>0</v>
      </c>
      <c r="T320" s="285">
        <f t="shared" si="143"/>
        <v>0</v>
      </c>
      <c r="U320" s="285">
        <f t="shared" si="143"/>
        <v>0</v>
      </c>
      <c r="V320" s="285">
        <f t="shared" si="143"/>
        <v>9485.3140000000003</v>
      </c>
      <c r="W320" s="308"/>
      <c r="Y320" s="308"/>
      <c r="Z320" s="308"/>
      <c r="AA320" s="308"/>
      <c r="AB320" s="308"/>
    </row>
    <row r="321" spans="1:28" s="268" customFormat="1" ht="43.9" customHeight="1">
      <c r="A321" s="260">
        <v>1</v>
      </c>
      <c r="B321" s="273" t="s">
        <v>579</v>
      </c>
      <c r="C321" s="262" t="s">
        <v>39</v>
      </c>
      <c r="D321" s="260" t="s">
        <v>229</v>
      </c>
      <c r="E321" s="274">
        <v>2022</v>
      </c>
      <c r="F321" s="274">
        <v>2024</v>
      </c>
      <c r="G321" s="260" t="s">
        <v>802</v>
      </c>
      <c r="H321" s="275" t="s">
        <v>803</v>
      </c>
      <c r="I321" s="276">
        <v>9500</v>
      </c>
      <c r="J321" s="276">
        <v>9500</v>
      </c>
      <c r="K321" s="276"/>
      <c r="L321" s="276"/>
      <c r="M321" s="276">
        <v>9485.3140000000003</v>
      </c>
      <c r="N321" s="276">
        <f t="shared" si="123"/>
        <v>9485.3140000000003</v>
      </c>
      <c r="O321" s="276"/>
      <c r="P321" s="276">
        <v>4000</v>
      </c>
      <c r="Q321" s="276">
        <v>4000</v>
      </c>
      <c r="R321" s="276">
        <v>1485.3140000000001</v>
      </c>
      <c r="S321" s="296"/>
      <c r="T321" s="276">
        <f t="shared" si="128"/>
        <v>0</v>
      </c>
      <c r="U321" s="276">
        <f t="shared" si="129"/>
        <v>0</v>
      </c>
      <c r="V321" s="296">
        <v>9485.3140000000003</v>
      </c>
      <c r="W321" s="259"/>
      <c r="Y321" s="259"/>
      <c r="Z321" s="259">
        <v>1</v>
      </c>
      <c r="AA321" s="259"/>
      <c r="AB321" s="259"/>
    </row>
    <row r="322" spans="1:28" s="268" customFormat="1" ht="45" customHeight="1">
      <c r="A322" s="261" t="s">
        <v>580</v>
      </c>
      <c r="B322" s="290" t="s">
        <v>211</v>
      </c>
      <c r="C322" s="262"/>
      <c r="D322" s="261"/>
      <c r="E322" s="274"/>
      <c r="F322" s="274"/>
      <c r="G322" s="261"/>
      <c r="H322" s="263"/>
      <c r="I322" s="264">
        <f>I323+I325</f>
        <v>1189003</v>
      </c>
      <c r="J322" s="264">
        <f t="shared" ref="J322:M322" si="144">J323+J325</f>
        <v>284800</v>
      </c>
      <c r="K322" s="264">
        <f t="shared" si="144"/>
        <v>100000</v>
      </c>
      <c r="L322" s="264">
        <f t="shared" si="144"/>
        <v>100000</v>
      </c>
      <c r="M322" s="264">
        <f t="shared" si="144"/>
        <v>180600</v>
      </c>
      <c r="N322" s="264">
        <f t="shared" ref="N322:V322" si="145">N323+N325</f>
        <v>180600</v>
      </c>
      <c r="O322" s="264">
        <f t="shared" si="145"/>
        <v>145000</v>
      </c>
      <c r="P322" s="264">
        <f t="shared" si="145"/>
        <v>0</v>
      </c>
      <c r="Q322" s="264">
        <f t="shared" si="145"/>
        <v>0</v>
      </c>
      <c r="R322" s="264">
        <f t="shared" si="145"/>
        <v>16000</v>
      </c>
      <c r="S322" s="264">
        <f t="shared" si="145"/>
        <v>19600</v>
      </c>
      <c r="T322" s="264">
        <f t="shared" si="145"/>
        <v>0</v>
      </c>
      <c r="U322" s="264">
        <f t="shared" si="145"/>
        <v>0</v>
      </c>
      <c r="V322" s="264">
        <f t="shared" si="145"/>
        <v>180600</v>
      </c>
      <c r="W322" s="259"/>
      <c r="Y322" s="259"/>
      <c r="Z322" s="259"/>
      <c r="AA322" s="259"/>
      <c r="AB322" s="259"/>
    </row>
    <row r="323" spans="1:28" s="268" customFormat="1" ht="41.25" customHeight="1">
      <c r="A323" s="271" t="s">
        <v>408</v>
      </c>
      <c r="B323" s="272" t="s">
        <v>35</v>
      </c>
      <c r="C323" s="262"/>
      <c r="D323" s="261"/>
      <c r="E323" s="274"/>
      <c r="F323" s="274"/>
      <c r="G323" s="261"/>
      <c r="H323" s="263"/>
      <c r="I323" s="264">
        <f>I324</f>
        <v>1100000</v>
      </c>
      <c r="J323" s="264">
        <f t="shared" ref="J323:V323" si="146">J324</f>
        <v>245000</v>
      </c>
      <c r="K323" s="264">
        <f t="shared" si="146"/>
        <v>100000</v>
      </c>
      <c r="L323" s="264">
        <f t="shared" si="146"/>
        <v>100000</v>
      </c>
      <c r="M323" s="264">
        <f t="shared" si="146"/>
        <v>145000</v>
      </c>
      <c r="N323" s="264">
        <f t="shared" si="146"/>
        <v>145000</v>
      </c>
      <c r="O323" s="264">
        <f t="shared" si="146"/>
        <v>145000</v>
      </c>
      <c r="P323" s="264">
        <f t="shared" si="146"/>
        <v>0</v>
      </c>
      <c r="Q323" s="264">
        <f t="shared" si="146"/>
        <v>0</v>
      </c>
      <c r="R323" s="264">
        <f t="shared" si="146"/>
        <v>0</v>
      </c>
      <c r="S323" s="264">
        <f t="shared" si="146"/>
        <v>0</v>
      </c>
      <c r="T323" s="264">
        <f t="shared" si="146"/>
        <v>0</v>
      </c>
      <c r="U323" s="264">
        <f t="shared" si="146"/>
        <v>0</v>
      </c>
      <c r="V323" s="264">
        <f t="shared" si="146"/>
        <v>145000</v>
      </c>
      <c r="W323" s="259"/>
      <c r="Y323" s="259"/>
      <c r="Z323" s="259"/>
      <c r="AA323" s="259"/>
      <c r="AB323" s="259"/>
    </row>
    <row r="324" spans="1:28" s="268" customFormat="1" ht="102.75" customHeight="1">
      <c r="A324" s="260">
        <v>1</v>
      </c>
      <c r="B324" s="273" t="s">
        <v>387</v>
      </c>
      <c r="C324" s="262" t="s">
        <v>38</v>
      </c>
      <c r="D324" s="260" t="s">
        <v>229</v>
      </c>
      <c r="E324" s="274">
        <v>2020</v>
      </c>
      <c r="F324" s="274">
        <v>2023</v>
      </c>
      <c r="G324" s="260"/>
      <c r="H324" s="275" t="s">
        <v>654</v>
      </c>
      <c r="I324" s="276">
        <v>1100000</v>
      </c>
      <c r="J324" s="276">
        <v>245000</v>
      </c>
      <c r="K324" s="276">
        <v>100000</v>
      </c>
      <c r="L324" s="276">
        <v>100000</v>
      </c>
      <c r="M324" s="276">
        <v>145000</v>
      </c>
      <c r="N324" s="276">
        <f t="shared" si="123"/>
        <v>145000</v>
      </c>
      <c r="O324" s="276">
        <v>145000</v>
      </c>
      <c r="P324" s="276"/>
      <c r="Q324" s="276"/>
      <c r="R324" s="276"/>
      <c r="S324" s="296"/>
      <c r="T324" s="276">
        <f t="shared" si="128"/>
        <v>0</v>
      </c>
      <c r="U324" s="276">
        <f t="shared" si="129"/>
        <v>0</v>
      </c>
      <c r="V324" s="296">
        <v>145000</v>
      </c>
      <c r="W324" s="259"/>
      <c r="Y324" s="259">
        <v>1</v>
      </c>
      <c r="Z324" s="259"/>
      <c r="AA324" s="259"/>
      <c r="AB324" s="259"/>
    </row>
    <row r="325" spans="1:28" s="268" customFormat="1" ht="38.65" customHeight="1">
      <c r="A325" s="271" t="s">
        <v>412</v>
      </c>
      <c r="B325" s="272" t="s">
        <v>36</v>
      </c>
      <c r="C325" s="262"/>
      <c r="D325" s="261"/>
      <c r="E325" s="274"/>
      <c r="F325" s="274"/>
      <c r="G325" s="261"/>
      <c r="H325" s="263"/>
      <c r="I325" s="264">
        <f>I326</f>
        <v>89003</v>
      </c>
      <c r="J325" s="264">
        <f t="shared" ref="J325:V325" si="147">J326</f>
        <v>39800</v>
      </c>
      <c r="K325" s="264">
        <f t="shared" si="147"/>
        <v>0</v>
      </c>
      <c r="L325" s="264">
        <f t="shared" si="147"/>
        <v>0</v>
      </c>
      <c r="M325" s="264">
        <f t="shared" si="147"/>
        <v>35600</v>
      </c>
      <c r="N325" s="264">
        <f t="shared" si="147"/>
        <v>35600</v>
      </c>
      <c r="O325" s="264">
        <f t="shared" si="147"/>
        <v>0</v>
      </c>
      <c r="P325" s="264">
        <f t="shared" si="147"/>
        <v>0</v>
      </c>
      <c r="Q325" s="264">
        <f t="shared" si="147"/>
        <v>0</v>
      </c>
      <c r="R325" s="264">
        <f t="shared" si="147"/>
        <v>16000</v>
      </c>
      <c r="S325" s="264">
        <f t="shared" si="147"/>
        <v>19600</v>
      </c>
      <c r="T325" s="264">
        <f t="shared" si="147"/>
        <v>0</v>
      </c>
      <c r="U325" s="264">
        <f t="shared" si="147"/>
        <v>0</v>
      </c>
      <c r="V325" s="264">
        <f t="shared" si="147"/>
        <v>35600</v>
      </c>
      <c r="W325" s="261"/>
      <c r="Y325" s="259"/>
      <c r="Z325" s="259"/>
      <c r="AA325" s="259"/>
      <c r="AB325" s="259"/>
    </row>
    <row r="326" spans="1:28" s="288" customFormat="1" ht="40.5" customHeight="1">
      <c r="A326" s="318" t="s">
        <v>587</v>
      </c>
      <c r="B326" s="280" t="s">
        <v>581</v>
      </c>
      <c r="C326" s="306"/>
      <c r="D326" s="282"/>
      <c r="E326" s="283"/>
      <c r="F326" s="283"/>
      <c r="G326" s="282"/>
      <c r="H326" s="284"/>
      <c r="I326" s="285">
        <f>SUM(I327:I330)</f>
        <v>89003</v>
      </c>
      <c r="J326" s="285">
        <f t="shared" ref="J326:M326" si="148">SUM(J327:J330)</f>
        <v>39800</v>
      </c>
      <c r="K326" s="285">
        <f t="shared" si="148"/>
        <v>0</v>
      </c>
      <c r="L326" s="285">
        <f t="shared" si="148"/>
        <v>0</v>
      </c>
      <c r="M326" s="285">
        <f t="shared" si="148"/>
        <v>35600</v>
      </c>
      <c r="N326" s="285">
        <f t="shared" ref="N326:V326" si="149">SUM(N327:N330)</f>
        <v>35600</v>
      </c>
      <c r="O326" s="285">
        <f t="shared" si="149"/>
        <v>0</v>
      </c>
      <c r="P326" s="285">
        <f t="shared" si="149"/>
        <v>0</v>
      </c>
      <c r="Q326" s="285">
        <f t="shared" si="149"/>
        <v>0</v>
      </c>
      <c r="R326" s="285">
        <f t="shared" si="149"/>
        <v>16000</v>
      </c>
      <c r="S326" s="285">
        <f t="shared" si="149"/>
        <v>19600</v>
      </c>
      <c r="T326" s="285">
        <f t="shared" si="149"/>
        <v>0</v>
      </c>
      <c r="U326" s="285">
        <f t="shared" si="149"/>
        <v>0</v>
      </c>
      <c r="V326" s="285">
        <f t="shared" si="149"/>
        <v>35600</v>
      </c>
      <c r="W326" s="308"/>
      <c r="Y326" s="308"/>
      <c r="Z326" s="308"/>
      <c r="AA326" s="308"/>
      <c r="AB326" s="308"/>
    </row>
    <row r="327" spans="1:28" s="268" customFormat="1" ht="56.25" customHeight="1">
      <c r="A327" s="305">
        <v>1</v>
      </c>
      <c r="B327" s="309" t="s">
        <v>582</v>
      </c>
      <c r="C327" s="262" t="s">
        <v>39</v>
      </c>
      <c r="D327" s="260"/>
      <c r="E327" s="274"/>
      <c r="F327" s="274"/>
      <c r="G327" s="260"/>
      <c r="H327" s="275" t="s">
        <v>1991</v>
      </c>
      <c r="I327" s="276">
        <v>16000</v>
      </c>
      <c r="J327" s="276">
        <v>4800</v>
      </c>
      <c r="K327" s="276"/>
      <c r="L327" s="276"/>
      <c r="M327" s="276">
        <v>4800</v>
      </c>
      <c r="N327" s="276">
        <f t="shared" si="123"/>
        <v>4800</v>
      </c>
      <c r="O327" s="276"/>
      <c r="P327" s="276"/>
      <c r="Q327" s="276"/>
      <c r="R327" s="276"/>
      <c r="S327" s="296">
        <v>4800</v>
      </c>
      <c r="T327" s="276">
        <f t="shared" si="128"/>
        <v>0</v>
      </c>
      <c r="U327" s="276">
        <f t="shared" si="129"/>
        <v>0</v>
      </c>
      <c r="V327" s="296">
        <v>4800</v>
      </c>
      <c r="W327" s="259"/>
      <c r="Y327" s="259"/>
      <c r="Z327" s="259">
        <v>1</v>
      </c>
      <c r="AA327" s="259"/>
      <c r="AB327" s="259"/>
    </row>
    <row r="328" spans="1:28" s="268" customFormat="1" ht="52.35" customHeight="1">
      <c r="A328" s="305">
        <v>2</v>
      </c>
      <c r="B328" s="309" t="s">
        <v>583</v>
      </c>
      <c r="C328" s="262" t="s">
        <v>39</v>
      </c>
      <c r="D328" s="260"/>
      <c r="E328" s="274"/>
      <c r="F328" s="274"/>
      <c r="G328" s="260"/>
      <c r="H328" s="275" t="s">
        <v>1989</v>
      </c>
      <c r="I328" s="276">
        <v>17703</v>
      </c>
      <c r="J328" s="276">
        <v>5311</v>
      </c>
      <c r="K328" s="276"/>
      <c r="L328" s="276"/>
      <c r="M328" s="276">
        <v>5311</v>
      </c>
      <c r="N328" s="276">
        <f t="shared" si="123"/>
        <v>5311</v>
      </c>
      <c r="O328" s="276"/>
      <c r="P328" s="276"/>
      <c r="Q328" s="276"/>
      <c r="R328" s="276"/>
      <c r="S328" s="296">
        <v>5311</v>
      </c>
      <c r="T328" s="276">
        <f t="shared" si="128"/>
        <v>0</v>
      </c>
      <c r="U328" s="276">
        <f t="shared" si="129"/>
        <v>0</v>
      </c>
      <c r="V328" s="296">
        <v>5311</v>
      </c>
      <c r="W328" s="259"/>
      <c r="Y328" s="259"/>
      <c r="Z328" s="259">
        <v>1</v>
      </c>
      <c r="AA328" s="259"/>
      <c r="AB328" s="259"/>
    </row>
    <row r="329" spans="1:28" s="268" customFormat="1" ht="55.5" customHeight="1">
      <c r="A329" s="305">
        <v>3</v>
      </c>
      <c r="B329" s="309" t="s">
        <v>584</v>
      </c>
      <c r="C329" s="262" t="s">
        <v>39</v>
      </c>
      <c r="D329" s="260"/>
      <c r="E329" s="274"/>
      <c r="F329" s="274"/>
      <c r="G329" s="260"/>
      <c r="H329" s="275" t="s">
        <v>1990</v>
      </c>
      <c r="I329" s="276">
        <v>15500</v>
      </c>
      <c r="J329" s="276">
        <v>4650</v>
      </c>
      <c r="K329" s="276"/>
      <c r="L329" s="276"/>
      <c r="M329" s="276">
        <v>4650</v>
      </c>
      <c r="N329" s="276">
        <f t="shared" si="123"/>
        <v>4650</v>
      </c>
      <c r="O329" s="276"/>
      <c r="P329" s="276"/>
      <c r="Q329" s="276"/>
      <c r="R329" s="276"/>
      <c r="S329" s="296">
        <v>4650</v>
      </c>
      <c r="T329" s="276">
        <f t="shared" si="128"/>
        <v>0</v>
      </c>
      <c r="U329" s="276">
        <f t="shared" si="129"/>
        <v>0</v>
      </c>
      <c r="V329" s="296">
        <v>4650</v>
      </c>
      <c r="W329" s="259"/>
      <c r="Y329" s="259"/>
      <c r="Z329" s="259">
        <v>1</v>
      </c>
      <c r="AA329" s="259"/>
      <c r="AB329" s="259"/>
    </row>
    <row r="330" spans="1:28" s="268" customFormat="1" ht="51.75" customHeight="1">
      <c r="A330" s="305">
        <v>4</v>
      </c>
      <c r="B330" s="309" t="s">
        <v>585</v>
      </c>
      <c r="C330" s="262" t="s">
        <v>39</v>
      </c>
      <c r="D330" s="260"/>
      <c r="E330" s="274"/>
      <c r="F330" s="274"/>
      <c r="G330" s="260"/>
      <c r="H330" s="275" t="s">
        <v>804</v>
      </c>
      <c r="I330" s="276">
        <v>39800</v>
      </c>
      <c r="J330" s="276">
        <v>25039</v>
      </c>
      <c r="K330" s="276"/>
      <c r="L330" s="276"/>
      <c r="M330" s="276">
        <v>20839</v>
      </c>
      <c r="N330" s="276">
        <f t="shared" si="123"/>
        <v>20839</v>
      </c>
      <c r="O330" s="276"/>
      <c r="P330" s="276"/>
      <c r="Q330" s="276"/>
      <c r="R330" s="276">
        <v>16000</v>
      </c>
      <c r="S330" s="296">
        <v>4839</v>
      </c>
      <c r="T330" s="276">
        <f t="shared" si="128"/>
        <v>0</v>
      </c>
      <c r="U330" s="276">
        <f t="shared" si="129"/>
        <v>0</v>
      </c>
      <c r="V330" s="296">
        <v>20839</v>
      </c>
      <c r="W330" s="259"/>
      <c r="Y330" s="259"/>
      <c r="Z330" s="259">
        <v>1</v>
      </c>
      <c r="AA330" s="259"/>
      <c r="AB330" s="259"/>
    </row>
    <row r="331" spans="1:28" s="268" customFormat="1" ht="39.75" customHeight="1">
      <c r="A331" s="261" t="s">
        <v>39</v>
      </c>
      <c r="B331" s="290" t="s">
        <v>586</v>
      </c>
      <c r="C331" s="262"/>
      <c r="D331" s="261"/>
      <c r="E331" s="274"/>
      <c r="F331" s="274"/>
      <c r="G331" s="261"/>
      <c r="H331" s="263"/>
      <c r="I331" s="264">
        <f>I332+I359+I377+I380</f>
        <v>495796</v>
      </c>
      <c r="J331" s="264">
        <f t="shared" ref="J331:M331" si="150">J332+J359+J377+J380</f>
        <v>391226</v>
      </c>
      <c r="K331" s="264">
        <f t="shared" si="150"/>
        <v>153080.41</v>
      </c>
      <c r="L331" s="264">
        <f t="shared" si="150"/>
        <v>100859.41</v>
      </c>
      <c r="M331" s="264">
        <f t="shared" si="150"/>
        <v>168000</v>
      </c>
      <c r="N331" s="264">
        <f t="shared" ref="N331" si="151">N332+N359+N377+N380</f>
        <v>165000</v>
      </c>
      <c r="O331" s="264">
        <f t="shared" ref="O331" si="152">O332+O359+O377+O380</f>
        <v>30000</v>
      </c>
      <c r="P331" s="264">
        <f t="shared" ref="P331" si="153">P332+P359+P377+P380</f>
        <v>36000</v>
      </c>
      <c r="Q331" s="264">
        <f t="shared" ref="Q331" si="154">Q332+Q359+Q377+Q380</f>
        <v>35000</v>
      </c>
      <c r="R331" s="264">
        <f t="shared" ref="R331" si="155">R332+R359+R377+R380</f>
        <v>32000</v>
      </c>
      <c r="S331" s="264">
        <f t="shared" ref="S331" si="156">S332+S359+S377+S380</f>
        <v>32000</v>
      </c>
      <c r="T331" s="264">
        <f t="shared" ref="T331" si="157">T332+T359+T377+T380</f>
        <v>0</v>
      </c>
      <c r="U331" s="264">
        <f t="shared" ref="U331" si="158">U332+U359+U377+U380</f>
        <v>3000</v>
      </c>
      <c r="V331" s="264">
        <f t="shared" ref="V331" si="159">V332+V359+V377+V380</f>
        <v>165000</v>
      </c>
      <c r="W331" s="259"/>
      <c r="Y331" s="259"/>
      <c r="Z331" s="259"/>
      <c r="AA331" s="259"/>
      <c r="AB331" s="259"/>
    </row>
    <row r="332" spans="1:28" s="268" customFormat="1" ht="39" customHeight="1">
      <c r="A332" s="261" t="s">
        <v>33</v>
      </c>
      <c r="B332" s="290" t="s">
        <v>444</v>
      </c>
      <c r="C332" s="262"/>
      <c r="D332" s="261"/>
      <c r="E332" s="274"/>
      <c r="F332" s="274"/>
      <c r="G332" s="261"/>
      <c r="H332" s="263"/>
      <c r="I332" s="264">
        <f>I333+I347+I356</f>
        <v>351246</v>
      </c>
      <c r="J332" s="264">
        <f t="shared" ref="J332:M332" si="160">J333+J347+J356</f>
        <v>262661</v>
      </c>
      <c r="K332" s="264">
        <f t="shared" si="160"/>
        <v>146093.41</v>
      </c>
      <c r="L332" s="264">
        <f t="shared" si="160"/>
        <v>93872.41</v>
      </c>
      <c r="M332" s="264">
        <f t="shared" si="160"/>
        <v>79749</v>
      </c>
      <c r="N332" s="264">
        <f t="shared" ref="N332:V332" si="161">N333+N347+N356</f>
        <v>78233</v>
      </c>
      <c r="O332" s="264">
        <f t="shared" si="161"/>
        <v>25000</v>
      </c>
      <c r="P332" s="264">
        <f t="shared" si="161"/>
        <v>17687</v>
      </c>
      <c r="Q332" s="264">
        <f t="shared" si="161"/>
        <v>15052</v>
      </c>
      <c r="R332" s="264">
        <f t="shared" si="161"/>
        <v>12941</v>
      </c>
      <c r="S332" s="264">
        <f t="shared" si="161"/>
        <v>7553</v>
      </c>
      <c r="T332" s="264">
        <f t="shared" si="161"/>
        <v>0</v>
      </c>
      <c r="U332" s="264">
        <f t="shared" si="161"/>
        <v>1516</v>
      </c>
      <c r="V332" s="264">
        <f t="shared" si="161"/>
        <v>78233</v>
      </c>
      <c r="W332" s="259"/>
      <c r="Y332" s="259"/>
      <c r="Z332" s="259"/>
      <c r="AA332" s="259"/>
      <c r="AB332" s="259"/>
    </row>
    <row r="333" spans="1:28" s="268" customFormat="1" ht="46.5" customHeight="1">
      <c r="A333" s="271" t="s">
        <v>408</v>
      </c>
      <c r="B333" s="272" t="s">
        <v>35</v>
      </c>
      <c r="C333" s="262"/>
      <c r="D333" s="261"/>
      <c r="E333" s="274"/>
      <c r="F333" s="274"/>
      <c r="G333" s="261"/>
      <c r="H333" s="263"/>
      <c r="I333" s="264">
        <f>I334+I339</f>
        <v>254410</v>
      </c>
      <c r="J333" s="264">
        <f t="shared" ref="J333:M333" si="162">J334+J339</f>
        <v>179184</v>
      </c>
      <c r="K333" s="264">
        <f t="shared" si="162"/>
        <v>146093.41</v>
      </c>
      <c r="L333" s="264">
        <f t="shared" si="162"/>
        <v>93872.41</v>
      </c>
      <c r="M333" s="264">
        <f t="shared" si="162"/>
        <v>29847</v>
      </c>
      <c r="N333" s="264">
        <f t="shared" ref="N333:V333" si="163">N334+N339</f>
        <v>29847</v>
      </c>
      <c r="O333" s="264">
        <f t="shared" si="163"/>
        <v>25000</v>
      </c>
      <c r="P333" s="264">
        <f t="shared" si="163"/>
        <v>2195</v>
      </c>
      <c r="Q333" s="264">
        <f t="shared" si="163"/>
        <v>2652</v>
      </c>
      <c r="R333" s="264">
        <f t="shared" si="163"/>
        <v>0</v>
      </c>
      <c r="S333" s="264">
        <f t="shared" si="163"/>
        <v>0</v>
      </c>
      <c r="T333" s="264">
        <f t="shared" si="163"/>
        <v>0</v>
      </c>
      <c r="U333" s="264">
        <f t="shared" si="163"/>
        <v>0</v>
      </c>
      <c r="V333" s="264">
        <f t="shared" si="163"/>
        <v>29847</v>
      </c>
      <c r="W333" s="259"/>
      <c r="Y333" s="259"/>
      <c r="Z333" s="259"/>
      <c r="AA333" s="259"/>
      <c r="AB333" s="259"/>
    </row>
    <row r="334" spans="1:28" s="268" customFormat="1" ht="23.25" customHeight="1">
      <c r="A334" s="261" t="s">
        <v>587</v>
      </c>
      <c r="B334" s="290" t="s">
        <v>407</v>
      </c>
      <c r="C334" s="262"/>
      <c r="D334" s="261"/>
      <c r="E334" s="274"/>
      <c r="F334" s="274"/>
      <c r="G334" s="261"/>
      <c r="H334" s="263"/>
      <c r="I334" s="264">
        <f>SUM(I335:I338)</f>
        <v>41700</v>
      </c>
      <c r="J334" s="264">
        <f t="shared" ref="J334:M334" si="164">SUM(J335:J338)</f>
        <v>16590</v>
      </c>
      <c r="K334" s="264">
        <f t="shared" si="164"/>
        <v>31110</v>
      </c>
      <c r="L334" s="264">
        <f t="shared" si="164"/>
        <v>6000</v>
      </c>
      <c r="M334" s="264">
        <f t="shared" si="164"/>
        <v>9843</v>
      </c>
      <c r="N334" s="264">
        <f t="shared" ref="N334:V334" si="165">SUM(N335:N338)</f>
        <v>9843</v>
      </c>
      <c r="O334" s="264">
        <f t="shared" si="165"/>
        <v>9843</v>
      </c>
      <c r="P334" s="264">
        <f t="shared" si="165"/>
        <v>0</v>
      </c>
      <c r="Q334" s="264">
        <f t="shared" si="165"/>
        <v>0</v>
      </c>
      <c r="R334" s="264">
        <f t="shared" si="165"/>
        <v>0</v>
      </c>
      <c r="S334" s="264">
        <f t="shared" si="165"/>
        <v>0</v>
      </c>
      <c r="T334" s="264">
        <f t="shared" si="165"/>
        <v>0</v>
      </c>
      <c r="U334" s="264">
        <f t="shared" si="165"/>
        <v>0</v>
      </c>
      <c r="V334" s="264">
        <f t="shared" si="165"/>
        <v>9843</v>
      </c>
      <c r="W334" s="259"/>
      <c r="Y334" s="259"/>
      <c r="Z334" s="259"/>
      <c r="AA334" s="259"/>
      <c r="AB334" s="259"/>
    </row>
    <row r="335" spans="1:28" s="268" customFormat="1" ht="42" customHeight="1">
      <c r="A335" s="260">
        <v>1</v>
      </c>
      <c r="B335" s="273" t="s">
        <v>588</v>
      </c>
      <c r="C335" s="262" t="s">
        <v>39</v>
      </c>
      <c r="D335" s="260" t="s">
        <v>630</v>
      </c>
      <c r="E335" s="274">
        <v>2019</v>
      </c>
      <c r="F335" s="274">
        <v>2021</v>
      </c>
      <c r="G335" s="260"/>
      <c r="H335" s="275" t="s">
        <v>805</v>
      </c>
      <c r="I335" s="276">
        <v>7000</v>
      </c>
      <c r="J335" s="276">
        <v>3902</v>
      </c>
      <c r="K335" s="276">
        <v>4598</v>
      </c>
      <c r="L335" s="276">
        <v>1500</v>
      </c>
      <c r="M335" s="276">
        <v>2083</v>
      </c>
      <c r="N335" s="276">
        <f t="shared" si="123"/>
        <v>2083</v>
      </c>
      <c r="O335" s="276">
        <v>2083</v>
      </c>
      <c r="P335" s="276"/>
      <c r="Q335" s="276"/>
      <c r="R335" s="276"/>
      <c r="S335" s="296"/>
      <c r="T335" s="276">
        <f t="shared" si="128"/>
        <v>0</v>
      </c>
      <c r="U335" s="276">
        <f t="shared" si="129"/>
        <v>0</v>
      </c>
      <c r="V335" s="296">
        <v>2083</v>
      </c>
      <c r="W335" s="259"/>
      <c r="Y335" s="259">
        <v>1</v>
      </c>
      <c r="Z335" s="259"/>
      <c r="AA335" s="259"/>
      <c r="AB335" s="259"/>
    </row>
    <row r="336" spans="1:28" s="268" customFormat="1" ht="42" customHeight="1">
      <c r="A336" s="260">
        <v>2</v>
      </c>
      <c r="B336" s="273" t="s">
        <v>589</v>
      </c>
      <c r="C336" s="262" t="s">
        <v>39</v>
      </c>
      <c r="D336" s="260" t="s">
        <v>629</v>
      </c>
      <c r="E336" s="274">
        <v>2019</v>
      </c>
      <c r="F336" s="274">
        <v>2021</v>
      </c>
      <c r="G336" s="260"/>
      <c r="H336" s="275" t="s">
        <v>806</v>
      </c>
      <c r="I336" s="276">
        <v>7800</v>
      </c>
      <c r="J336" s="276">
        <v>1953</v>
      </c>
      <c r="K336" s="276">
        <v>7347</v>
      </c>
      <c r="L336" s="276">
        <v>1500</v>
      </c>
      <c r="M336" s="276">
        <v>247</v>
      </c>
      <c r="N336" s="276">
        <f t="shared" si="123"/>
        <v>247</v>
      </c>
      <c r="O336" s="276">
        <v>247</v>
      </c>
      <c r="P336" s="276"/>
      <c r="Q336" s="276"/>
      <c r="R336" s="276"/>
      <c r="S336" s="296"/>
      <c r="T336" s="276">
        <f t="shared" si="128"/>
        <v>0</v>
      </c>
      <c r="U336" s="276">
        <f t="shared" si="129"/>
        <v>0</v>
      </c>
      <c r="V336" s="296">
        <v>247</v>
      </c>
      <c r="W336" s="259"/>
      <c r="Y336" s="259">
        <v>1</v>
      </c>
      <c r="Z336" s="259"/>
      <c r="AA336" s="259"/>
      <c r="AB336" s="259"/>
    </row>
    <row r="337" spans="1:28" s="268" customFormat="1" ht="69.75" customHeight="1">
      <c r="A337" s="260">
        <v>3</v>
      </c>
      <c r="B337" s="273" t="s">
        <v>590</v>
      </c>
      <c r="C337" s="262" t="s">
        <v>39</v>
      </c>
      <c r="D337" s="260" t="s">
        <v>629</v>
      </c>
      <c r="E337" s="274">
        <v>2019</v>
      </c>
      <c r="F337" s="274">
        <v>2021</v>
      </c>
      <c r="G337" s="260"/>
      <c r="H337" s="275" t="s">
        <v>807</v>
      </c>
      <c r="I337" s="276">
        <v>12000</v>
      </c>
      <c r="J337" s="276">
        <v>6750</v>
      </c>
      <c r="K337" s="276">
        <v>6750</v>
      </c>
      <c r="L337" s="276">
        <v>1500</v>
      </c>
      <c r="M337" s="276">
        <v>5240</v>
      </c>
      <c r="N337" s="276">
        <f t="shared" si="123"/>
        <v>5240</v>
      </c>
      <c r="O337" s="276">
        <v>5240</v>
      </c>
      <c r="P337" s="276"/>
      <c r="Q337" s="276"/>
      <c r="R337" s="276"/>
      <c r="S337" s="296"/>
      <c r="T337" s="276">
        <f t="shared" si="128"/>
        <v>0</v>
      </c>
      <c r="U337" s="276">
        <f t="shared" si="129"/>
        <v>0</v>
      </c>
      <c r="V337" s="296">
        <v>5240</v>
      </c>
      <c r="W337" s="259"/>
      <c r="Y337" s="259">
        <v>1</v>
      </c>
      <c r="Z337" s="259"/>
      <c r="AA337" s="259"/>
      <c r="AB337" s="259"/>
    </row>
    <row r="338" spans="1:28" s="268" customFormat="1" ht="38.25" customHeight="1">
      <c r="A338" s="260">
        <v>4</v>
      </c>
      <c r="B338" s="273" t="s">
        <v>591</v>
      </c>
      <c r="C338" s="262" t="s">
        <v>39</v>
      </c>
      <c r="D338" s="260" t="s">
        <v>230</v>
      </c>
      <c r="E338" s="274">
        <v>2019</v>
      </c>
      <c r="F338" s="274">
        <v>2021</v>
      </c>
      <c r="G338" s="260"/>
      <c r="H338" s="275" t="s">
        <v>808</v>
      </c>
      <c r="I338" s="276">
        <v>14900</v>
      </c>
      <c r="J338" s="276">
        <v>3985</v>
      </c>
      <c r="K338" s="276">
        <v>12415</v>
      </c>
      <c r="L338" s="276">
        <v>1500</v>
      </c>
      <c r="M338" s="276">
        <v>2273</v>
      </c>
      <c r="N338" s="276">
        <f t="shared" si="123"/>
        <v>2273</v>
      </c>
      <c r="O338" s="276">
        <v>2273</v>
      </c>
      <c r="P338" s="276"/>
      <c r="Q338" s="276"/>
      <c r="R338" s="276"/>
      <c r="S338" s="296"/>
      <c r="T338" s="276">
        <f t="shared" si="128"/>
        <v>0</v>
      </c>
      <c r="U338" s="276">
        <f t="shared" si="129"/>
        <v>0</v>
      </c>
      <c r="V338" s="296">
        <v>2273</v>
      </c>
      <c r="W338" s="259"/>
      <c r="Y338" s="259">
        <v>1</v>
      </c>
      <c r="Z338" s="259"/>
      <c r="AA338" s="259"/>
      <c r="AB338" s="259"/>
    </row>
    <row r="339" spans="1:28" s="268" customFormat="1" ht="25.5" customHeight="1">
      <c r="A339" s="261" t="s">
        <v>587</v>
      </c>
      <c r="B339" s="290" t="s">
        <v>592</v>
      </c>
      <c r="C339" s="262"/>
      <c r="D339" s="261"/>
      <c r="E339" s="274"/>
      <c r="F339" s="274"/>
      <c r="G339" s="261"/>
      <c r="H339" s="263"/>
      <c r="I339" s="264">
        <f>SUM(I340:I346)</f>
        <v>212710</v>
      </c>
      <c r="J339" s="264">
        <f t="shared" ref="J339:V339" si="166">SUM(J340:J346)</f>
        <v>162594</v>
      </c>
      <c r="K339" s="264">
        <f t="shared" si="166"/>
        <v>114983.41</v>
      </c>
      <c r="L339" s="264">
        <f t="shared" si="166"/>
        <v>87872.41</v>
      </c>
      <c r="M339" s="264">
        <f t="shared" si="166"/>
        <v>20004</v>
      </c>
      <c r="N339" s="264">
        <f t="shared" si="166"/>
        <v>20004</v>
      </c>
      <c r="O339" s="264">
        <f t="shared" si="166"/>
        <v>15157</v>
      </c>
      <c r="P339" s="264">
        <f t="shared" si="166"/>
        <v>2195</v>
      </c>
      <c r="Q339" s="264">
        <f t="shared" si="166"/>
        <v>2652</v>
      </c>
      <c r="R339" s="264">
        <f t="shared" si="166"/>
        <v>0</v>
      </c>
      <c r="S339" s="264">
        <f t="shared" si="166"/>
        <v>0</v>
      </c>
      <c r="T339" s="264">
        <f t="shared" si="166"/>
        <v>0</v>
      </c>
      <c r="U339" s="264">
        <f t="shared" si="166"/>
        <v>0</v>
      </c>
      <c r="V339" s="264">
        <f t="shared" si="166"/>
        <v>20004</v>
      </c>
      <c r="W339" s="259"/>
      <c r="Y339" s="259"/>
      <c r="Z339" s="259"/>
      <c r="AA339" s="259"/>
      <c r="AB339" s="259"/>
    </row>
    <row r="340" spans="1:28" s="268" customFormat="1" ht="39.950000000000003" customHeight="1">
      <c r="A340" s="260">
        <v>1</v>
      </c>
      <c r="B340" s="273" t="s">
        <v>593</v>
      </c>
      <c r="C340" s="262" t="s">
        <v>39</v>
      </c>
      <c r="D340" s="260" t="s">
        <v>632</v>
      </c>
      <c r="E340" s="274">
        <v>2018</v>
      </c>
      <c r="F340" s="274">
        <v>2021</v>
      </c>
      <c r="G340" s="260" t="s">
        <v>809</v>
      </c>
      <c r="H340" s="275" t="s">
        <v>810</v>
      </c>
      <c r="I340" s="276">
        <v>6000</v>
      </c>
      <c r="J340" s="276">
        <v>6000</v>
      </c>
      <c r="K340" s="276">
        <v>3043</v>
      </c>
      <c r="L340" s="276">
        <v>3043</v>
      </c>
      <c r="M340" s="276">
        <v>2293</v>
      </c>
      <c r="N340" s="276">
        <f t="shared" si="123"/>
        <v>2293</v>
      </c>
      <c r="O340" s="276">
        <v>2293</v>
      </c>
      <c r="P340" s="276"/>
      <c r="Q340" s="276"/>
      <c r="R340" s="276"/>
      <c r="S340" s="296"/>
      <c r="T340" s="276">
        <f t="shared" si="128"/>
        <v>0</v>
      </c>
      <c r="U340" s="276">
        <f t="shared" si="129"/>
        <v>0</v>
      </c>
      <c r="V340" s="296">
        <v>2293</v>
      </c>
      <c r="W340" s="259"/>
      <c r="Y340" s="259">
        <v>1</v>
      </c>
      <c r="Z340" s="259"/>
      <c r="AA340" s="259"/>
      <c r="AB340" s="259"/>
    </row>
    <row r="341" spans="1:28" s="268" customFormat="1" ht="39.950000000000003" customHeight="1">
      <c r="A341" s="260">
        <v>2</v>
      </c>
      <c r="B341" s="273" t="s">
        <v>594</v>
      </c>
      <c r="C341" s="262" t="s">
        <v>39</v>
      </c>
      <c r="D341" s="260" t="s">
        <v>625</v>
      </c>
      <c r="E341" s="274">
        <v>2019</v>
      </c>
      <c r="F341" s="274">
        <v>2021</v>
      </c>
      <c r="G341" s="260" t="s">
        <v>811</v>
      </c>
      <c r="H341" s="275" t="s">
        <v>812</v>
      </c>
      <c r="I341" s="276">
        <v>3300</v>
      </c>
      <c r="J341" s="276">
        <v>3300</v>
      </c>
      <c r="K341" s="276">
        <v>1120</v>
      </c>
      <c r="L341" s="276">
        <v>1120</v>
      </c>
      <c r="M341" s="276">
        <v>1878</v>
      </c>
      <c r="N341" s="276">
        <f t="shared" si="123"/>
        <v>1878</v>
      </c>
      <c r="O341" s="276">
        <v>1878</v>
      </c>
      <c r="P341" s="276"/>
      <c r="Q341" s="276"/>
      <c r="R341" s="276"/>
      <c r="S341" s="296"/>
      <c r="T341" s="276">
        <f t="shared" si="128"/>
        <v>0</v>
      </c>
      <c r="U341" s="276">
        <f t="shared" si="129"/>
        <v>0</v>
      </c>
      <c r="V341" s="296">
        <v>1878</v>
      </c>
      <c r="W341" s="259"/>
      <c r="Y341" s="259">
        <v>1</v>
      </c>
      <c r="Z341" s="259"/>
      <c r="AA341" s="259"/>
      <c r="AB341" s="259"/>
    </row>
    <row r="342" spans="1:28" s="268" customFormat="1" ht="39.950000000000003" customHeight="1">
      <c r="A342" s="260">
        <v>3</v>
      </c>
      <c r="B342" s="273" t="s">
        <v>595</v>
      </c>
      <c r="C342" s="262" t="s">
        <v>39</v>
      </c>
      <c r="D342" s="260" t="s">
        <v>630</v>
      </c>
      <c r="E342" s="274">
        <v>2019</v>
      </c>
      <c r="F342" s="274">
        <v>2021</v>
      </c>
      <c r="G342" s="260"/>
      <c r="H342" s="275" t="s">
        <v>813</v>
      </c>
      <c r="I342" s="276">
        <v>6000</v>
      </c>
      <c r="J342" s="276">
        <v>4705</v>
      </c>
      <c r="K342" s="276">
        <v>3290</v>
      </c>
      <c r="L342" s="276">
        <v>2000</v>
      </c>
      <c r="M342" s="276">
        <v>2620</v>
      </c>
      <c r="N342" s="276">
        <f t="shared" si="123"/>
        <v>2620</v>
      </c>
      <c r="O342" s="276">
        <v>2620</v>
      </c>
      <c r="P342" s="276"/>
      <c r="Q342" s="276"/>
      <c r="R342" s="276"/>
      <c r="S342" s="296"/>
      <c r="T342" s="276">
        <f t="shared" si="128"/>
        <v>0</v>
      </c>
      <c r="U342" s="276">
        <f t="shared" si="129"/>
        <v>0</v>
      </c>
      <c r="V342" s="296">
        <v>2620</v>
      </c>
      <c r="W342" s="259"/>
      <c r="Y342" s="259">
        <v>1</v>
      </c>
      <c r="Z342" s="259"/>
      <c r="AA342" s="259"/>
      <c r="AB342" s="259"/>
    </row>
    <row r="343" spans="1:28" s="268" customFormat="1" ht="39.950000000000003" customHeight="1">
      <c r="A343" s="260">
        <v>4</v>
      </c>
      <c r="B343" s="273" t="s">
        <v>596</v>
      </c>
      <c r="C343" s="262" t="s">
        <v>39</v>
      </c>
      <c r="D343" s="294" t="s">
        <v>229</v>
      </c>
      <c r="E343" s="274">
        <v>2017</v>
      </c>
      <c r="F343" s="274">
        <v>2021</v>
      </c>
      <c r="G343" s="260" t="s">
        <v>814</v>
      </c>
      <c r="H343" s="275" t="s">
        <v>815</v>
      </c>
      <c r="I343" s="276">
        <v>17000</v>
      </c>
      <c r="J343" s="276">
        <v>17000</v>
      </c>
      <c r="K343" s="276">
        <v>12600</v>
      </c>
      <c r="L343" s="276">
        <v>12600</v>
      </c>
      <c r="M343" s="276">
        <v>3955</v>
      </c>
      <c r="N343" s="276">
        <f t="shared" ref="N343:N389" si="167">SUM(O343:S343)</f>
        <v>3955</v>
      </c>
      <c r="O343" s="276">
        <v>3955</v>
      </c>
      <c r="P343" s="276"/>
      <c r="Q343" s="276"/>
      <c r="R343" s="276"/>
      <c r="S343" s="296"/>
      <c r="T343" s="276">
        <f t="shared" si="128"/>
        <v>0</v>
      </c>
      <c r="U343" s="276">
        <f t="shared" si="129"/>
        <v>0</v>
      </c>
      <c r="V343" s="296">
        <v>3955</v>
      </c>
      <c r="W343" s="259"/>
      <c r="Y343" s="259">
        <v>1</v>
      </c>
      <c r="Z343" s="259"/>
      <c r="AA343" s="259"/>
      <c r="AB343" s="259"/>
    </row>
    <row r="344" spans="1:28" s="268" customFormat="1" ht="90.75" customHeight="1">
      <c r="A344" s="260">
        <v>5</v>
      </c>
      <c r="B344" s="273" t="s">
        <v>445</v>
      </c>
      <c r="C344" s="262" t="s">
        <v>38</v>
      </c>
      <c r="D344" s="294"/>
      <c r="E344" s="274"/>
      <c r="F344" s="274"/>
      <c r="G344" s="260"/>
      <c r="H344" s="275" t="s">
        <v>671</v>
      </c>
      <c r="I344" s="276">
        <v>121810</v>
      </c>
      <c r="J344" s="276">
        <v>95989</v>
      </c>
      <c r="K344" s="276">
        <v>80770.41</v>
      </c>
      <c r="L344" s="276">
        <v>54949.41</v>
      </c>
      <c r="M344" s="276">
        <v>4300</v>
      </c>
      <c r="N344" s="276">
        <f t="shared" si="167"/>
        <v>4300</v>
      </c>
      <c r="O344" s="276">
        <v>333</v>
      </c>
      <c r="P344" s="276">
        <v>1315</v>
      </c>
      <c r="Q344" s="276">
        <v>2652</v>
      </c>
      <c r="R344" s="276"/>
      <c r="S344" s="296"/>
      <c r="T344" s="276">
        <f t="shared" si="128"/>
        <v>0</v>
      </c>
      <c r="U344" s="276">
        <f t="shared" si="129"/>
        <v>0</v>
      </c>
      <c r="V344" s="296">
        <v>4300</v>
      </c>
      <c r="W344" s="259"/>
      <c r="Y344" s="259">
        <v>1</v>
      </c>
      <c r="Z344" s="259"/>
      <c r="AA344" s="259"/>
      <c r="AB344" s="259"/>
    </row>
    <row r="345" spans="1:28" s="268" customFormat="1" ht="77.25" customHeight="1">
      <c r="A345" s="260">
        <v>6</v>
      </c>
      <c r="B345" s="273" t="s">
        <v>126</v>
      </c>
      <c r="C345" s="262" t="s">
        <v>38</v>
      </c>
      <c r="D345" s="260"/>
      <c r="E345" s="274"/>
      <c r="F345" s="274"/>
      <c r="G345" s="260"/>
      <c r="H345" s="275" t="s">
        <v>816</v>
      </c>
      <c r="I345" s="276">
        <v>46000</v>
      </c>
      <c r="J345" s="276">
        <v>23000</v>
      </c>
      <c r="K345" s="276">
        <v>5000</v>
      </c>
      <c r="L345" s="276">
        <v>5000</v>
      </c>
      <c r="M345" s="276">
        <v>2000</v>
      </c>
      <c r="N345" s="276">
        <f t="shared" si="167"/>
        <v>2000</v>
      </c>
      <c r="O345" s="276">
        <v>2000</v>
      </c>
      <c r="P345" s="276"/>
      <c r="Q345" s="276"/>
      <c r="R345" s="276"/>
      <c r="S345" s="296"/>
      <c r="T345" s="276">
        <f t="shared" si="128"/>
        <v>0</v>
      </c>
      <c r="U345" s="276">
        <f t="shared" si="129"/>
        <v>0</v>
      </c>
      <c r="V345" s="296">
        <v>2000</v>
      </c>
      <c r="W345" s="259"/>
      <c r="Y345" s="259">
        <v>1</v>
      </c>
      <c r="Z345" s="259"/>
      <c r="AA345" s="259"/>
      <c r="AB345" s="259"/>
    </row>
    <row r="346" spans="1:28" s="268" customFormat="1" ht="30.75">
      <c r="A346" s="260">
        <v>7</v>
      </c>
      <c r="B346" s="312" t="s">
        <v>597</v>
      </c>
      <c r="C346" s="262" t="s">
        <v>39</v>
      </c>
      <c r="D346" s="260" t="s">
        <v>629</v>
      </c>
      <c r="E346" s="274">
        <v>2018</v>
      </c>
      <c r="F346" s="274">
        <v>2021</v>
      </c>
      <c r="G346" s="260" t="s">
        <v>811</v>
      </c>
      <c r="H346" s="275" t="s">
        <v>817</v>
      </c>
      <c r="I346" s="276">
        <v>12600</v>
      </c>
      <c r="J346" s="276">
        <v>12600</v>
      </c>
      <c r="K346" s="276">
        <v>9160</v>
      </c>
      <c r="L346" s="276">
        <v>9160</v>
      </c>
      <c r="M346" s="276">
        <v>2958</v>
      </c>
      <c r="N346" s="276">
        <f t="shared" si="167"/>
        <v>2958</v>
      </c>
      <c r="O346" s="276">
        <v>2078</v>
      </c>
      <c r="P346" s="276">
        <v>880</v>
      </c>
      <c r="Q346" s="276"/>
      <c r="R346" s="276"/>
      <c r="S346" s="296"/>
      <c r="T346" s="276">
        <f t="shared" ref="T346:T389" si="168">IF(V346&gt;M346,V346-M346,0)</f>
        <v>0</v>
      </c>
      <c r="U346" s="276">
        <f t="shared" ref="U346:U389" si="169">IF(V346&lt;M346,M346-V346,0)</f>
        <v>0</v>
      </c>
      <c r="V346" s="296">
        <v>2958</v>
      </c>
      <c r="W346" s="259"/>
      <c r="Y346" s="259">
        <v>1</v>
      </c>
      <c r="Z346" s="259"/>
      <c r="AA346" s="259"/>
      <c r="AB346" s="259"/>
    </row>
    <row r="347" spans="1:28" s="268" customFormat="1" ht="40.5" customHeight="1">
      <c r="A347" s="271" t="s">
        <v>412</v>
      </c>
      <c r="B347" s="272" t="s">
        <v>36</v>
      </c>
      <c r="C347" s="262" t="s">
        <v>39</v>
      </c>
      <c r="D347" s="261"/>
      <c r="E347" s="274"/>
      <c r="F347" s="274"/>
      <c r="G347" s="261"/>
      <c r="H347" s="263"/>
      <c r="I347" s="264">
        <f>I348</f>
        <v>66900</v>
      </c>
      <c r="J347" s="264">
        <f t="shared" ref="J347:V347" si="170">J348</f>
        <v>53541</v>
      </c>
      <c r="K347" s="264">
        <f t="shared" si="170"/>
        <v>0</v>
      </c>
      <c r="L347" s="264">
        <f t="shared" si="170"/>
        <v>0</v>
      </c>
      <c r="M347" s="264">
        <f t="shared" si="170"/>
        <v>47902</v>
      </c>
      <c r="N347" s="264">
        <f t="shared" si="170"/>
        <v>47442</v>
      </c>
      <c r="O347" s="264">
        <f t="shared" si="170"/>
        <v>0</v>
      </c>
      <c r="P347" s="264">
        <f t="shared" si="170"/>
        <v>15492</v>
      </c>
      <c r="Q347" s="264">
        <f t="shared" si="170"/>
        <v>12400</v>
      </c>
      <c r="R347" s="264">
        <f t="shared" si="170"/>
        <v>12941</v>
      </c>
      <c r="S347" s="264">
        <f t="shared" si="170"/>
        <v>6609</v>
      </c>
      <c r="T347" s="264">
        <f t="shared" si="170"/>
        <v>0</v>
      </c>
      <c r="U347" s="264">
        <f t="shared" si="170"/>
        <v>460</v>
      </c>
      <c r="V347" s="264">
        <f t="shared" si="170"/>
        <v>47442</v>
      </c>
      <c r="W347" s="259"/>
      <c r="Y347" s="259"/>
      <c r="Z347" s="259"/>
      <c r="AA347" s="259"/>
      <c r="AB347" s="259"/>
    </row>
    <row r="348" spans="1:28" s="288" customFormat="1" ht="40.5" customHeight="1">
      <c r="A348" s="279" t="s">
        <v>96</v>
      </c>
      <c r="B348" s="280" t="s">
        <v>123</v>
      </c>
      <c r="C348" s="306"/>
      <c r="D348" s="282"/>
      <c r="E348" s="307"/>
      <c r="F348" s="307"/>
      <c r="G348" s="282"/>
      <c r="H348" s="284"/>
      <c r="I348" s="285">
        <f>SUM(I349:I355)</f>
        <v>66900</v>
      </c>
      <c r="J348" s="285">
        <f t="shared" ref="J348:M348" si="171">SUM(J349:J355)</f>
        <v>53541</v>
      </c>
      <c r="K348" s="285">
        <f t="shared" si="171"/>
        <v>0</v>
      </c>
      <c r="L348" s="285">
        <f t="shared" si="171"/>
        <v>0</v>
      </c>
      <c r="M348" s="285">
        <f t="shared" si="171"/>
        <v>47902</v>
      </c>
      <c r="N348" s="285">
        <f t="shared" ref="N348:V348" si="172">SUM(N349:N355)</f>
        <v>47442</v>
      </c>
      <c r="O348" s="285">
        <f t="shared" si="172"/>
        <v>0</v>
      </c>
      <c r="P348" s="285">
        <f t="shared" si="172"/>
        <v>15492</v>
      </c>
      <c r="Q348" s="285">
        <f t="shared" si="172"/>
        <v>12400</v>
      </c>
      <c r="R348" s="285">
        <f t="shared" si="172"/>
        <v>12941</v>
      </c>
      <c r="S348" s="285">
        <f t="shared" si="172"/>
        <v>6609</v>
      </c>
      <c r="T348" s="285">
        <f t="shared" si="172"/>
        <v>0</v>
      </c>
      <c r="U348" s="285">
        <f t="shared" si="172"/>
        <v>460</v>
      </c>
      <c r="V348" s="285">
        <f t="shared" si="172"/>
        <v>47442</v>
      </c>
      <c r="W348" s="308"/>
      <c r="Y348" s="308"/>
      <c r="Z348" s="308"/>
      <c r="AA348" s="308"/>
      <c r="AB348" s="308"/>
    </row>
    <row r="349" spans="1:28" s="268" customFormat="1" ht="39.950000000000003" customHeight="1">
      <c r="A349" s="305">
        <v>1</v>
      </c>
      <c r="B349" s="316" t="s">
        <v>598</v>
      </c>
      <c r="C349" s="262" t="s">
        <v>39</v>
      </c>
      <c r="D349" s="260" t="s">
        <v>628</v>
      </c>
      <c r="E349" s="274">
        <v>2021</v>
      </c>
      <c r="F349" s="274">
        <v>2023</v>
      </c>
      <c r="G349" s="260" t="s">
        <v>676</v>
      </c>
      <c r="H349" s="275" t="s">
        <v>818</v>
      </c>
      <c r="I349" s="276">
        <v>11000</v>
      </c>
      <c r="J349" s="276">
        <v>11000</v>
      </c>
      <c r="K349" s="276"/>
      <c r="L349" s="276"/>
      <c r="M349" s="276">
        <v>10723</v>
      </c>
      <c r="N349" s="276">
        <f t="shared" si="167"/>
        <v>10723</v>
      </c>
      <c r="O349" s="276"/>
      <c r="P349" s="276">
        <v>8000</v>
      </c>
      <c r="Q349" s="276">
        <v>2500</v>
      </c>
      <c r="R349" s="276">
        <v>223</v>
      </c>
      <c r="S349" s="296"/>
      <c r="T349" s="276">
        <f t="shared" si="168"/>
        <v>0</v>
      </c>
      <c r="U349" s="276">
        <f t="shared" si="169"/>
        <v>0</v>
      </c>
      <c r="V349" s="296">
        <v>10723</v>
      </c>
      <c r="W349" s="259"/>
      <c r="Y349" s="259"/>
      <c r="Z349" s="259">
        <v>1</v>
      </c>
      <c r="AA349" s="259"/>
      <c r="AB349" s="259"/>
    </row>
    <row r="350" spans="1:28" s="268" customFormat="1" ht="39.950000000000003" customHeight="1">
      <c r="A350" s="305">
        <v>2</v>
      </c>
      <c r="B350" s="316" t="s">
        <v>1018</v>
      </c>
      <c r="C350" s="262"/>
      <c r="D350" s="260"/>
      <c r="E350" s="274"/>
      <c r="F350" s="274"/>
      <c r="G350" s="260"/>
      <c r="H350" s="275" t="s">
        <v>1020</v>
      </c>
      <c r="I350" s="276">
        <v>14900</v>
      </c>
      <c r="J350" s="276">
        <v>6117</v>
      </c>
      <c r="K350" s="276"/>
      <c r="L350" s="276"/>
      <c r="M350" s="276">
        <v>887</v>
      </c>
      <c r="N350" s="276">
        <f t="shared" si="167"/>
        <v>887</v>
      </c>
      <c r="O350" s="276"/>
      <c r="P350" s="276"/>
      <c r="Q350" s="276"/>
      <c r="R350" s="276"/>
      <c r="S350" s="296">
        <v>887</v>
      </c>
      <c r="T350" s="276">
        <f t="shared" si="168"/>
        <v>0</v>
      </c>
      <c r="U350" s="276">
        <f t="shared" si="169"/>
        <v>0</v>
      </c>
      <c r="V350" s="296">
        <v>887</v>
      </c>
      <c r="W350" s="259"/>
      <c r="Y350" s="259"/>
      <c r="Z350" s="259"/>
      <c r="AA350" s="259"/>
      <c r="AB350" s="259"/>
    </row>
    <row r="351" spans="1:28" s="268" customFormat="1" ht="39.950000000000003" customHeight="1">
      <c r="A351" s="260">
        <v>3</v>
      </c>
      <c r="B351" s="273" t="s">
        <v>599</v>
      </c>
      <c r="C351" s="262" t="s">
        <v>39</v>
      </c>
      <c r="D351" s="260" t="s">
        <v>630</v>
      </c>
      <c r="E351" s="274">
        <v>2022</v>
      </c>
      <c r="F351" s="274">
        <v>2024</v>
      </c>
      <c r="G351" s="260" t="s">
        <v>672</v>
      </c>
      <c r="H351" s="275" t="s">
        <v>819</v>
      </c>
      <c r="I351" s="276">
        <v>10000</v>
      </c>
      <c r="J351" s="276">
        <v>10000</v>
      </c>
      <c r="K351" s="276"/>
      <c r="L351" s="276"/>
      <c r="M351" s="276">
        <v>9868</v>
      </c>
      <c r="N351" s="276">
        <f t="shared" si="167"/>
        <v>9868</v>
      </c>
      <c r="O351" s="276"/>
      <c r="P351" s="276">
        <v>4350</v>
      </c>
      <c r="Q351" s="276">
        <v>3000</v>
      </c>
      <c r="R351" s="276">
        <v>2518</v>
      </c>
      <c r="S351" s="296"/>
      <c r="T351" s="276">
        <f t="shared" si="168"/>
        <v>0</v>
      </c>
      <c r="U351" s="276">
        <f t="shared" si="169"/>
        <v>0</v>
      </c>
      <c r="V351" s="296">
        <v>9868</v>
      </c>
      <c r="W351" s="259"/>
      <c r="Y351" s="259"/>
      <c r="Z351" s="259">
        <v>1</v>
      </c>
      <c r="AA351" s="259"/>
      <c r="AB351" s="259"/>
    </row>
    <row r="352" spans="1:28" s="268" customFormat="1" ht="57" customHeight="1">
      <c r="A352" s="305">
        <v>4</v>
      </c>
      <c r="B352" s="273" t="s">
        <v>600</v>
      </c>
      <c r="C352" s="262" t="s">
        <v>39</v>
      </c>
      <c r="D352" s="260" t="s">
        <v>229</v>
      </c>
      <c r="E352" s="274">
        <v>2022</v>
      </c>
      <c r="F352" s="274">
        <v>2022</v>
      </c>
      <c r="G352" s="260" t="s">
        <v>820</v>
      </c>
      <c r="H352" s="275" t="s">
        <v>821</v>
      </c>
      <c r="I352" s="276">
        <v>3000</v>
      </c>
      <c r="J352" s="276">
        <v>3000</v>
      </c>
      <c r="K352" s="276"/>
      <c r="L352" s="276"/>
      <c r="M352" s="276">
        <v>3000</v>
      </c>
      <c r="N352" s="276">
        <f t="shared" si="167"/>
        <v>2895</v>
      </c>
      <c r="O352" s="276"/>
      <c r="P352" s="276">
        <v>2800</v>
      </c>
      <c r="Q352" s="276"/>
      <c r="R352" s="276"/>
      <c r="S352" s="296">
        <v>95</v>
      </c>
      <c r="T352" s="276">
        <f t="shared" si="168"/>
        <v>0</v>
      </c>
      <c r="U352" s="276">
        <f t="shared" si="169"/>
        <v>105</v>
      </c>
      <c r="V352" s="296">
        <v>2895</v>
      </c>
      <c r="W352" s="259"/>
      <c r="Y352" s="259"/>
      <c r="Z352" s="259">
        <v>1</v>
      </c>
      <c r="AA352" s="259"/>
      <c r="AB352" s="259"/>
    </row>
    <row r="353" spans="1:28" s="268" customFormat="1" ht="57.75" customHeight="1">
      <c r="A353" s="305">
        <v>5</v>
      </c>
      <c r="B353" s="273" t="s">
        <v>601</v>
      </c>
      <c r="C353" s="262" t="s">
        <v>39</v>
      </c>
      <c r="D353" s="260"/>
      <c r="E353" s="274"/>
      <c r="F353" s="274"/>
      <c r="G353" s="260"/>
      <c r="H353" s="275" t="s">
        <v>1045</v>
      </c>
      <c r="I353" s="276">
        <v>10000</v>
      </c>
      <c r="J353" s="276">
        <v>5424</v>
      </c>
      <c r="K353" s="276"/>
      <c r="L353" s="276"/>
      <c r="M353" s="276">
        <v>5424</v>
      </c>
      <c r="N353" s="276">
        <f t="shared" si="167"/>
        <v>5169</v>
      </c>
      <c r="O353" s="276"/>
      <c r="P353" s="276"/>
      <c r="Q353" s="276"/>
      <c r="R353" s="276"/>
      <c r="S353" s="296">
        <v>5169</v>
      </c>
      <c r="T353" s="276">
        <f t="shared" si="168"/>
        <v>0</v>
      </c>
      <c r="U353" s="276">
        <f t="shared" si="169"/>
        <v>255</v>
      </c>
      <c r="V353" s="296">
        <v>5169</v>
      </c>
      <c r="W353" s="262" t="s">
        <v>2004</v>
      </c>
      <c r="Y353" s="259"/>
      <c r="Z353" s="259">
        <v>1</v>
      </c>
      <c r="AA353" s="259"/>
      <c r="AB353" s="259"/>
    </row>
    <row r="354" spans="1:28" s="268" customFormat="1" ht="38.25" customHeight="1">
      <c r="A354" s="260">
        <v>6</v>
      </c>
      <c r="B354" s="273" t="s">
        <v>602</v>
      </c>
      <c r="C354" s="262" t="s">
        <v>39</v>
      </c>
      <c r="D354" s="260" t="s">
        <v>229</v>
      </c>
      <c r="E354" s="274">
        <v>2023</v>
      </c>
      <c r="F354" s="274">
        <v>2025</v>
      </c>
      <c r="G354" s="260"/>
      <c r="H354" s="275" t="s">
        <v>822</v>
      </c>
      <c r="I354" s="276">
        <v>8000</v>
      </c>
      <c r="J354" s="276">
        <v>8000</v>
      </c>
      <c r="K354" s="276"/>
      <c r="L354" s="276"/>
      <c r="M354" s="276">
        <v>8000</v>
      </c>
      <c r="N354" s="276">
        <f t="shared" si="167"/>
        <v>7920</v>
      </c>
      <c r="O354" s="276"/>
      <c r="P354" s="276">
        <v>142</v>
      </c>
      <c r="Q354" s="276">
        <v>4500</v>
      </c>
      <c r="R354" s="276">
        <v>3200</v>
      </c>
      <c r="S354" s="296">
        <v>78</v>
      </c>
      <c r="T354" s="276">
        <f t="shared" si="168"/>
        <v>0</v>
      </c>
      <c r="U354" s="276">
        <f t="shared" si="169"/>
        <v>80</v>
      </c>
      <c r="V354" s="296">
        <v>7920</v>
      </c>
      <c r="W354" s="546" t="s">
        <v>1099</v>
      </c>
      <c r="Y354" s="259"/>
      <c r="Z354" s="259">
        <v>1</v>
      </c>
      <c r="AA354" s="259"/>
      <c r="AB354" s="259"/>
    </row>
    <row r="355" spans="1:28" s="268" customFormat="1" ht="45" customHeight="1">
      <c r="A355" s="305">
        <v>7</v>
      </c>
      <c r="B355" s="273" t="s">
        <v>603</v>
      </c>
      <c r="C355" s="262" t="s">
        <v>39</v>
      </c>
      <c r="D355" s="260" t="s">
        <v>229</v>
      </c>
      <c r="E355" s="274">
        <v>2023</v>
      </c>
      <c r="F355" s="274">
        <v>2025</v>
      </c>
      <c r="G355" s="260"/>
      <c r="H355" s="275" t="s">
        <v>823</v>
      </c>
      <c r="I355" s="276">
        <v>10000</v>
      </c>
      <c r="J355" s="276">
        <v>10000</v>
      </c>
      <c r="K355" s="276"/>
      <c r="L355" s="276"/>
      <c r="M355" s="276">
        <v>10000</v>
      </c>
      <c r="N355" s="276">
        <f t="shared" si="167"/>
        <v>9980</v>
      </c>
      <c r="O355" s="276"/>
      <c r="P355" s="276">
        <v>200</v>
      </c>
      <c r="Q355" s="276">
        <v>2400</v>
      </c>
      <c r="R355" s="276">
        <v>7000</v>
      </c>
      <c r="S355" s="296">
        <v>380</v>
      </c>
      <c r="T355" s="276">
        <f t="shared" si="168"/>
        <v>0</v>
      </c>
      <c r="U355" s="276">
        <f t="shared" si="169"/>
        <v>20</v>
      </c>
      <c r="V355" s="296">
        <v>9980</v>
      </c>
      <c r="W355" s="259"/>
      <c r="Y355" s="259"/>
      <c r="Z355" s="259">
        <v>1</v>
      </c>
      <c r="AA355" s="259"/>
      <c r="AB355" s="259"/>
    </row>
    <row r="356" spans="1:28" s="268" customFormat="1" ht="39.4" customHeight="1">
      <c r="A356" s="271" t="s">
        <v>437</v>
      </c>
      <c r="B356" s="272" t="s">
        <v>99</v>
      </c>
      <c r="C356" s="277"/>
      <c r="D356" s="261"/>
      <c r="E356" s="278"/>
      <c r="F356" s="278"/>
      <c r="G356" s="261"/>
      <c r="H356" s="263"/>
      <c r="I356" s="264">
        <f>SUM(I357:I358)</f>
        <v>29936</v>
      </c>
      <c r="J356" s="264">
        <f t="shared" ref="J356:V356" si="173">SUM(J357:J358)</f>
        <v>29936</v>
      </c>
      <c r="K356" s="264">
        <f t="shared" si="173"/>
        <v>0</v>
      </c>
      <c r="L356" s="264">
        <f t="shared" si="173"/>
        <v>0</v>
      </c>
      <c r="M356" s="264">
        <f t="shared" si="173"/>
        <v>2000</v>
      </c>
      <c r="N356" s="264">
        <f t="shared" si="173"/>
        <v>944</v>
      </c>
      <c r="O356" s="264">
        <f t="shared" si="173"/>
        <v>0</v>
      </c>
      <c r="P356" s="264">
        <f t="shared" si="173"/>
        <v>0</v>
      </c>
      <c r="Q356" s="264">
        <f t="shared" si="173"/>
        <v>0</v>
      </c>
      <c r="R356" s="264">
        <f t="shared" si="173"/>
        <v>0</v>
      </c>
      <c r="S356" s="264">
        <f t="shared" si="173"/>
        <v>944</v>
      </c>
      <c r="T356" s="264">
        <f t="shared" si="173"/>
        <v>0</v>
      </c>
      <c r="U356" s="264">
        <f t="shared" si="173"/>
        <v>1056</v>
      </c>
      <c r="V356" s="264">
        <f t="shared" si="173"/>
        <v>944</v>
      </c>
      <c r="W356" s="267"/>
      <c r="Y356" s="267"/>
      <c r="Z356" s="267"/>
      <c r="AA356" s="267"/>
      <c r="AB356" s="267"/>
    </row>
    <row r="357" spans="1:28" s="268" customFormat="1" ht="48" customHeight="1">
      <c r="A357" s="260">
        <v>1</v>
      </c>
      <c r="B357" s="273" t="s">
        <v>865</v>
      </c>
      <c r="C357" s="262" t="s">
        <v>39</v>
      </c>
      <c r="D357" s="260"/>
      <c r="E357" s="274"/>
      <c r="F357" s="274"/>
      <c r="G357" s="260"/>
      <c r="H357" s="275" t="s">
        <v>1046</v>
      </c>
      <c r="I357" s="276">
        <v>14986</v>
      </c>
      <c r="J357" s="276">
        <v>14986</v>
      </c>
      <c r="K357" s="276"/>
      <c r="L357" s="276"/>
      <c r="M357" s="276">
        <v>1000</v>
      </c>
      <c r="N357" s="276">
        <f t="shared" si="167"/>
        <v>613</v>
      </c>
      <c r="O357" s="276"/>
      <c r="P357" s="276"/>
      <c r="Q357" s="276"/>
      <c r="R357" s="276"/>
      <c r="S357" s="296">
        <v>613</v>
      </c>
      <c r="T357" s="276">
        <f t="shared" si="168"/>
        <v>0</v>
      </c>
      <c r="U357" s="276">
        <f t="shared" si="169"/>
        <v>387</v>
      </c>
      <c r="V357" s="296">
        <v>613</v>
      </c>
      <c r="W357" s="259"/>
      <c r="Y357" s="259"/>
      <c r="Z357" s="259"/>
      <c r="AA357" s="259"/>
      <c r="AB357" s="259">
        <v>1</v>
      </c>
    </row>
    <row r="358" spans="1:28" s="268" customFormat="1" ht="48" customHeight="1">
      <c r="A358" s="260">
        <v>2</v>
      </c>
      <c r="B358" s="273" t="s">
        <v>1109</v>
      </c>
      <c r="C358" s="262" t="s">
        <v>39</v>
      </c>
      <c r="D358" s="260"/>
      <c r="E358" s="274"/>
      <c r="F358" s="274"/>
      <c r="G358" s="260"/>
      <c r="H358" s="275" t="s">
        <v>1050</v>
      </c>
      <c r="I358" s="276">
        <v>14950</v>
      </c>
      <c r="J358" s="276">
        <v>14950</v>
      </c>
      <c r="K358" s="276"/>
      <c r="L358" s="276"/>
      <c r="M358" s="276">
        <v>1000</v>
      </c>
      <c r="N358" s="276">
        <f t="shared" si="167"/>
        <v>331</v>
      </c>
      <c r="O358" s="276"/>
      <c r="P358" s="276"/>
      <c r="Q358" s="276"/>
      <c r="R358" s="276"/>
      <c r="S358" s="296">
        <v>331</v>
      </c>
      <c r="T358" s="276">
        <f t="shared" si="168"/>
        <v>0</v>
      </c>
      <c r="U358" s="276">
        <f t="shared" si="169"/>
        <v>669</v>
      </c>
      <c r="V358" s="296">
        <v>331</v>
      </c>
      <c r="W358" s="259"/>
      <c r="Y358" s="259"/>
      <c r="Z358" s="259"/>
      <c r="AA358" s="259"/>
      <c r="AB358" s="259">
        <v>1</v>
      </c>
    </row>
    <row r="359" spans="1:28" s="268" customFormat="1" ht="22.5" customHeight="1">
      <c r="A359" s="261" t="s">
        <v>34</v>
      </c>
      <c r="B359" s="290" t="s">
        <v>604</v>
      </c>
      <c r="C359" s="262"/>
      <c r="D359" s="261"/>
      <c r="E359" s="274"/>
      <c r="F359" s="274"/>
      <c r="G359" s="261"/>
      <c r="H359" s="263"/>
      <c r="I359" s="264">
        <f>I360+I363</f>
        <v>109050</v>
      </c>
      <c r="J359" s="264">
        <f t="shared" ref="J359:M359" si="174">J360+J363</f>
        <v>93065</v>
      </c>
      <c r="K359" s="264">
        <f t="shared" si="174"/>
        <v>6987</v>
      </c>
      <c r="L359" s="264">
        <f t="shared" si="174"/>
        <v>6987</v>
      </c>
      <c r="M359" s="264">
        <f t="shared" si="174"/>
        <v>71064</v>
      </c>
      <c r="N359" s="264">
        <f t="shared" ref="N359:V359" si="175">N360+N363</f>
        <v>70020</v>
      </c>
      <c r="O359" s="264">
        <f t="shared" si="175"/>
        <v>2000</v>
      </c>
      <c r="P359" s="264">
        <f t="shared" si="175"/>
        <v>18313</v>
      </c>
      <c r="Q359" s="264">
        <f t="shared" si="175"/>
        <v>19948</v>
      </c>
      <c r="R359" s="264">
        <f t="shared" si="175"/>
        <v>18159</v>
      </c>
      <c r="S359" s="264">
        <f t="shared" si="175"/>
        <v>11600</v>
      </c>
      <c r="T359" s="264">
        <f t="shared" si="175"/>
        <v>0</v>
      </c>
      <c r="U359" s="264">
        <f t="shared" si="175"/>
        <v>1044</v>
      </c>
      <c r="V359" s="264">
        <f t="shared" si="175"/>
        <v>70020</v>
      </c>
      <c r="W359" s="259"/>
      <c r="Y359" s="259"/>
      <c r="Z359" s="259"/>
      <c r="AA359" s="259"/>
      <c r="AB359" s="259"/>
    </row>
    <row r="360" spans="1:28" s="268" customFormat="1" ht="46.15" customHeight="1">
      <c r="A360" s="271" t="s">
        <v>408</v>
      </c>
      <c r="B360" s="272" t="s">
        <v>35</v>
      </c>
      <c r="C360" s="262"/>
      <c r="D360" s="261"/>
      <c r="E360" s="274"/>
      <c r="F360" s="274"/>
      <c r="G360" s="261"/>
      <c r="H360" s="263"/>
      <c r="I360" s="264">
        <f>SUM(I361:I362)</f>
        <v>19350</v>
      </c>
      <c r="J360" s="264">
        <f t="shared" ref="J360:M360" si="176">SUM(J361:J362)</f>
        <v>19350</v>
      </c>
      <c r="K360" s="264">
        <f t="shared" si="176"/>
        <v>6987</v>
      </c>
      <c r="L360" s="264">
        <f t="shared" si="176"/>
        <v>6987</v>
      </c>
      <c r="M360" s="264">
        <f t="shared" si="176"/>
        <v>2663</v>
      </c>
      <c r="N360" s="264">
        <f t="shared" ref="N360:V360" si="177">SUM(N361:N362)</f>
        <v>2663</v>
      </c>
      <c r="O360" s="264">
        <f t="shared" si="177"/>
        <v>2000</v>
      </c>
      <c r="P360" s="264">
        <f t="shared" si="177"/>
        <v>663</v>
      </c>
      <c r="Q360" s="264">
        <f t="shared" si="177"/>
        <v>0</v>
      </c>
      <c r="R360" s="264">
        <f t="shared" si="177"/>
        <v>0</v>
      </c>
      <c r="S360" s="264">
        <f t="shared" si="177"/>
        <v>0</v>
      </c>
      <c r="T360" s="264">
        <f t="shared" si="177"/>
        <v>0</v>
      </c>
      <c r="U360" s="264">
        <f t="shared" si="177"/>
        <v>0</v>
      </c>
      <c r="V360" s="264">
        <f t="shared" si="177"/>
        <v>2663</v>
      </c>
      <c r="W360" s="259"/>
      <c r="Y360" s="259"/>
      <c r="Z360" s="259"/>
      <c r="AA360" s="259"/>
      <c r="AB360" s="259"/>
    </row>
    <row r="361" spans="1:28" s="268" customFormat="1" ht="30.75">
      <c r="A361" s="260">
        <v>1</v>
      </c>
      <c r="B361" s="309" t="s">
        <v>605</v>
      </c>
      <c r="C361" s="262" t="s">
        <v>39</v>
      </c>
      <c r="D361" s="294" t="s">
        <v>630</v>
      </c>
      <c r="E361" s="274">
        <v>2019</v>
      </c>
      <c r="F361" s="274">
        <v>2021</v>
      </c>
      <c r="G361" s="294" t="s">
        <v>824</v>
      </c>
      <c r="H361" s="275" t="s">
        <v>825</v>
      </c>
      <c r="I361" s="295">
        <v>4500</v>
      </c>
      <c r="J361" s="295">
        <v>4500</v>
      </c>
      <c r="K361" s="295">
        <v>3687</v>
      </c>
      <c r="L361" s="295">
        <v>3687</v>
      </c>
      <c r="M361" s="295">
        <v>663</v>
      </c>
      <c r="N361" s="276">
        <f t="shared" si="167"/>
        <v>663</v>
      </c>
      <c r="O361" s="295"/>
      <c r="P361" s="295">
        <v>663</v>
      </c>
      <c r="Q361" s="295"/>
      <c r="R361" s="295"/>
      <c r="S361" s="296"/>
      <c r="T361" s="276">
        <f t="shared" si="168"/>
        <v>0</v>
      </c>
      <c r="U361" s="276">
        <f t="shared" si="169"/>
        <v>0</v>
      </c>
      <c r="V361" s="296">
        <v>663</v>
      </c>
      <c r="W361" s="259"/>
      <c r="Y361" s="259">
        <v>1</v>
      </c>
      <c r="Z361" s="259"/>
      <c r="AA361" s="259"/>
      <c r="AB361" s="259"/>
    </row>
    <row r="362" spans="1:28" s="268" customFormat="1" ht="60.75" customHeight="1">
      <c r="A362" s="260">
        <v>2</v>
      </c>
      <c r="B362" s="273" t="s">
        <v>478</v>
      </c>
      <c r="C362" s="262" t="s">
        <v>39</v>
      </c>
      <c r="D362" s="260" t="s">
        <v>229</v>
      </c>
      <c r="E362" s="274">
        <v>2020</v>
      </c>
      <c r="F362" s="274">
        <v>2023</v>
      </c>
      <c r="G362" s="260" t="s">
        <v>709</v>
      </c>
      <c r="H362" s="275" t="s">
        <v>710</v>
      </c>
      <c r="I362" s="276">
        <v>14850</v>
      </c>
      <c r="J362" s="276">
        <v>14850</v>
      </c>
      <c r="K362" s="276">
        <v>3300</v>
      </c>
      <c r="L362" s="276">
        <v>3300</v>
      </c>
      <c r="M362" s="276">
        <v>2000</v>
      </c>
      <c r="N362" s="276">
        <f t="shared" si="167"/>
        <v>2000</v>
      </c>
      <c r="O362" s="276">
        <v>2000</v>
      </c>
      <c r="P362" s="276"/>
      <c r="Q362" s="276"/>
      <c r="R362" s="276"/>
      <c r="S362" s="296"/>
      <c r="T362" s="276">
        <f t="shared" si="168"/>
        <v>0</v>
      </c>
      <c r="U362" s="276">
        <f t="shared" si="169"/>
        <v>0</v>
      </c>
      <c r="V362" s="296">
        <v>2000</v>
      </c>
      <c r="W362" s="259"/>
      <c r="Y362" s="259">
        <v>1</v>
      </c>
      <c r="Z362" s="259"/>
      <c r="AA362" s="259"/>
      <c r="AB362" s="259"/>
    </row>
    <row r="363" spans="1:28" s="268" customFormat="1" ht="39.75" customHeight="1">
      <c r="A363" s="271" t="s">
        <v>412</v>
      </c>
      <c r="B363" s="272" t="s">
        <v>36</v>
      </c>
      <c r="C363" s="262"/>
      <c r="D363" s="261"/>
      <c r="E363" s="274"/>
      <c r="F363" s="274"/>
      <c r="G363" s="261"/>
      <c r="H363" s="263"/>
      <c r="I363" s="264">
        <f>I364</f>
        <v>89700</v>
      </c>
      <c r="J363" s="264">
        <f t="shared" ref="J363:V363" si="178">J364</f>
        <v>73715</v>
      </c>
      <c r="K363" s="264">
        <f t="shared" si="178"/>
        <v>0</v>
      </c>
      <c r="L363" s="264">
        <f t="shared" si="178"/>
        <v>0</v>
      </c>
      <c r="M363" s="264">
        <f t="shared" si="178"/>
        <v>68401</v>
      </c>
      <c r="N363" s="264">
        <f t="shared" si="178"/>
        <v>67357</v>
      </c>
      <c r="O363" s="264">
        <f t="shared" si="178"/>
        <v>0</v>
      </c>
      <c r="P363" s="264">
        <f t="shared" si="178"/>
        <v>17650</v>
      </c>
      <c r="Q363" s="264">
        <f t="shared" si="178"/>
        <v>19948</v>
      </c>
      <c r="R363" s="264">
        <f t="shared" si="178"/>
        <v>18159</v>
      </c>
      <c r="S363" s="264">
        <f t="shared" si="178"/>
        <v>11600</v>
      </c>
      <c r="T363" s="264">
        <f t="shared" si="178"/>
        <v>0</v>
      </c>
      <c r="U363" s="264">
        <f t="shared" si="178"/>
        <v>1044</v>
      </c>
      <c r="V363" s="264">
        <f t="shared" si="178"/>
        <v>67357</v>
      </c>
      <c r="W363" s="259"/>
      <c r="Y363" s="259"/>
      <c r="Z363" s="259"/>
      <c r="AA363" s="259"/>
      <c r="AB363" s="259"/>
    </row>
    <row r="364" spans="1:28" s="288" customFormat="1" ht="40.5" customHeight="1">
      <c r="A364" s="279" t="s">
        <v>96</v>
      </c>
      <c r="B364" s="280" t="s">
        <v>123</v>
      </c>
      <c r="C364" s="306"/>
      <c r="D364" s="282"/>
      <c r="E364" s="307"/>
      <c r="F364" s="307"/>
      <c r="G364" s="282"/>
      <c r="H364" s="284"/>
      <c r="I364" s="285">
        <f>SUM(I365:I376)</f>
        <v>89700</v>
      </c>
      <c r="J364" s="285">
        <f t="shared" ref="J364:M364" si="179">SUM(J365:J376)</f>
        <v>73715</v>
      </c>
      <c r="K364" s="285">
        <f t="shared" si="179"/>
        <v>0</v>
      </c>
      <c r="L364" s="285">
        <f t="shared" si="179"/>
        <v>0</v>
      </c>
      <c r="M364" s="285">
        <f t="shared" si="179"/>
        <v>68401</v>
      </c>
      <c r="N364" s="285">
        <f t="shared" ref="N364:V364" si="180">SUM(N365:N376)</f>
        <v>67357</v>
      </c>
      <c r="O364" s="285">
        <f t="shared" si="180"/>
        <v>0</v>
      </c>
      <c r="P364" s="285">
        <f t="shared" si="180"/>
        <v>17650</v>
      </c>
      <c r="Q364" s="285">
        <f t="shared" si="180"/>
        <v>19948</v>
      </c>
      <c r="R364" s="285">
        <f t="shared" si="180"/>
        <v>18159</v>
      </c>
      <c r="S364" s="285">
        <f t="shared" si="180"/>
        <v>11600</v>
      </c>
      <c r="T364" s="285">
        <f t="shared" si="180"/>
        <v>0</v>
      </c>
      <c r="U364" s="285">
        <f t="shared" si="180"/>
        <v>1044</v>
      </c>
      <c r="V364" s="285">
        <f t="shared" si="180"/>
        <v>67357</v>
      </c>
      <c r="W364" s="308"/>
      <c r="Y364" s="308"/>
      <c r="Z364" s="308"/>
      <c r="AA364" s="308"/>
      <c r="AB364" s="308"/>
    </row>
    <row r="365" spans="1:28" s="268" customFormat="1" ht="30.75">
      <c r="A365" s="260">
        <v>1</v>
      </c>
      <c r="B365" s="273" t="s">
        <v>606</v>
      </c>
      <c r="C365" s="262" t="s">
        <v>39</v>
      </c>
      <c r="D365" s="260" t="s">
        <v>631</v>
      </c>
      <c r="E365" s="274">
        <v>2021</v>
      </c>
      <c r="F365" s="274">
        <v>2023</v>
      </c>
      <c r="G365" s="260" t="s">
        <v>826</v>
      </c>
      <c r="H365" s="275" t="s">
        <v>827</v>
      </c>
      <c r="I365" s="276">
        <v>5000</v>
      </c>
      <c r="J365" s="276">
        <v>5000</v>
      </c>
      <c r="K365" s="276"/>
      <c r="L365" s="276"/>
      <c r="M365" s="276">
        <v>4808</v>
      </c>
      <c r="N365" s="276">
        <f t="shared" si="167"/>
        <v>4808</v>
      </c>
      <c r="O365" s="276"/>
      <c r="P365" s="276">
        <v>3000</v>
      </c>
      <c r="Q365" s="276">
        <v>1500</v>
      </c>
      <c r="R365" s="276">
        <v>308</v>
      </c>
      <c r="S365" s="296"/>
      <c r="T365" s="276">
        <f t="shared" si="168"/>
        <v>0</v>
      </c>
      <c r="U365" s="276">
        <f t="shared" si="169"/>
        <v>0</v>
      </c>
      <c r="V365" s="296">
        <v>4808</v>
      </c>
      <c r="W365" s="259"/>
      <c r="Y365" s="259"/>
      <c r="Z365" s="259">
        <v>1</v>
      </c>
      <c r="AA365" s="259"/>
      <c r="AB365" s="259"/>
    </row>
    <row r="366" spans="1:28" s="268" customFormat="1" ht="36" customHeight="1">
      <c r="A366" s="260">
        <v>2</v>
      </c>
      <c r="B366" s="273" t="s">
        <v>607</v>
      </c>
      <c r="C366" s="262" t="s">
        <v>39</v>
      </c>
      <c r="D366" s="260" t="s">
        <v>625</v>
      </c>
      <c r="E366" s="274">
        <v>2023</v>
      </c>
      <c r="F366" s="274">
        <v>2024</v>
      </c>
      <c r="G366" s="260" t="s">
        <v>828</v>
      </c>
      <c r="H366" s="275" t="s">
        <v>829</v>
      </c>
      <c r="I366" s="276">
        <v>5000</v>
      </c>
      <c r="J366" s="276">
        <v>5000</v>
      </c>
      <c r="K366" s="276"/>
      <c r="L366" s="276"/>
      <c r="M366" s="276">
        <v>5000</v>
      </c>
      <c r="N366" s="276">
        <f t="shared" si="167"/>
        <v>4914</v>
      </c>
      <c r="O366" s="276"/>
      <c r="P366" s="276">
        <v>100</v>
      </c>
      <c r="Q366" s="276">
        <v>1000</v>
      </c>
      <c r="R366" s="276">
        <v>3814</v>
      </c>
      <c r="S366" s="296"/>
      <c r="T366" s="276">
        <f t="shared" si="168"/>
        <v>0</v>
      </c>
      <c r="U366" s="276">
        <f t="shared" si="169"/>
        <v>86</v>
      </c>
      <c r="V366" s="296">
        <v>4914</v>
      </c>
      <c r="W366" s="259"/>
      <c r="Y366" s="259"/>
      <c r="Z366" s="259">
        <v>1</v>
      </c>
      <c r="AA366" s="259"/>
      <c r="AB366" s="259"/>
    </row>
    <row r="367" spans="1:28" s="268" customFormat="1" ht="45" customHeight="1">
      <c r="A367" s="260">
        <v>3</v>
      </c>
      <c r="B367" s="309" t="s">
        <v>608</v>
      </c>
      <c r="C367" s="262" t="s">
        <v>39</v>
      </c>
      <c r="D367" s="260" t="s">
        <v>631</v>
      </c>
      <c r="E367" s="274">
        <v>2022</v>
      </c>
      <c r="F367" s="274">
        <v>2022</v>
      </c>
      <c r="G367" s="294" t="s">
        <v>830</v>
      </c>
      <c r="H367" s="275" t="s">
        <v>831</v>
      </c>
      <c r="I367" s="295">
        <v>1900</v>
      </c>
      <c r="J367" s="295">
        <v>1900</v>
      </c>
      <c r="K367" s="295"/>
      <c r="L367" s="295"/>
      <c r="M367" s="295">
        <v>1900</v>
      </c>
      <c r="N367" s="276">
        <f t="shared" si="167"/>
        <v>1900</v>
      </c>
      <c r="O367" s="276"/>
      <c r="P367" s="276">
        <v>1900</v>
      </c>
      <c r="Q367" s="276"/>
      <c r="R367" s="276"/>
      <c r="S367" s="296"/>
      <c r="T367" s="276">
        <f t="shared" si="168"/>
        <v>0</v>
      </c>
      <c r="U367" s="276">
        <f t="shared" si="169"/>
        <v>0</v>
      </c>
      <c r="V367" s="296">
        <v>1900</v>
      </c>
      <c r="W367" s="259"/>
      <c r="Y367" s="259"/>
      <c r="Z367" s="259">
        <v>1</v>
      </c>
      <c r="AA367" s="259"/>
      <c r="AB367" s="259"/>
    </row>
    <row r="368" spans="1:28" s="268" customFormat="1" ht="59.25" customHeight="1">
      <c r="A368" s="260">
        <v>4</v>
      </c>
      <c r="B368" s="309" t="s">
        <v>609</v>
      </c>
      <c r="C368" s="262" t="s">
        <v>39</v>
      </c>
      <c r="D368" s="294" t="s">
        <v>625</v>
      </c>
      <c r="E368" s="274">
        <v>2022</v>
      </c>
      <c r="F368" s="274">
        <v>2024</v>
      </c>
      <c r="G368" s="294" t="s">
        <v>832</v>
      </c>
      <c r="H368" s="275" t="s">
        <v>833</v>
      </c>
      <c r="I368" s="295">
        <v>5700</v>
      </c>
      <c r="J368" s="295">
        <v>5700</v>
      </c>
      <c r="K368" s="295"/>
      <c r="L368" s="295"/>
      <c r="M368" s="295">
        <v>5480</v>
      </c>
      <c r="N368" s="276">
        <f t="shared" si="167"/>
        <v>5480</v>
      </c>
      <c r="O368" s="276"/>
      <c r="P368" s="276">
        <v>2000</v>
      </c>
      <c r="Q368" s="276">
        <v>2000</v>
      </c>
      <c r="R368" s="276">
        <v>1480</v>
      </c>
      <c r="S368" s="296"/>
      <c r="T368" s="276">
        <f t="shared" si="168"/>
        <v>0</v>
      </c>
      <c r="U368" s="276">
        <f t="shared" si="169"/>
        <v>0</v>
      </c>
      <c r="V368" s="296">
        <v>5480</v>
      </c>
      <c r="W368" s="259"/>
      <c r="Y368" s="259"/>
      <c r="Z368" s="259">
        <v>1</v>
      </c>
      <c r="AA368" s="259"/>
      <c r="AB368" s="259"/>
    </row>
    <row r="369" spans="1:28" s="268" customFormat="1" ht="54" customHeight="1">
      <c r="A369" s="260">
        <v>5</v>
      </c>
      <c r="B369" s="309" t="s">
        <v>610</v>
      </c>
      <c r="C369" s="262" t="s">
        <v>39</v>
      </c>
      <c r="D369" s="294" t="s">
        <v>630</v>
      </c>
      <c r="E369" s="274">
        <v>2023</v>
      </c>
      <c r="F369" s="274">
        <v>2025</v>
      </c>
      <c r="G369" s="294" t="s">
        <v>834</v>
      </c>
      <c r="H369" s="275" t="s">
        <v>835</v>
      </c>
      <c r="I369" s="295">
        <v>7600</v>
      </c>
      <c r="J369" s="295">
        <v>7600</v>
      </c>
      <c r="K369" s="295"/>
      <c r="L369" s="295"/>
      <c r="M369" s="295">
        <v>7600</v>
      </c>
      <c r="N369" s="276">
        <f t="shared" si="167"/>
        <v>7334</v>
      </c>
      <c r="O369" s="276"/>
      <c r="P369" s="276">
        <v>200</v>
      </c>
      <c r="Q369" s="276">
        <v>2000</v>
      </c>
      <c r="R369" s="276">
        <v>1134</v>
      </c>
      <c r="S369" s="296">
        <v>4000</v>
      </c>
      <c r="T369" s="276">
        <f t="shared" si="168"/>
        <v>0</v>
      </c>
      <c r="U369" s="276">
        <f t="shared" si="169"/>
        <v>266</v>
      </c>
      <c r="V369" s="296">
        <v>7334</v>
      </c>
      <c r="W369" s="259"/>
      <c r="Y369" s="259"/>
      <c r="Z369" s="259">
        <v>1</v>
      </c>
      <c r="AA369" s="259"/>
      <c r="AB369" s="259"/>
    </row>
    <row r="370" spans="1:28" s="268" customFormat="1" ht="45" customHeight="1">
      <c r="A370" s="260">
        <v>6</v>
      </c>
      <c r="B370" s="309" t="s">
        <v>611</v>
      </c>
      <c r="C370" s="262" t="s">
        <v>39</v>
      </c>
      <c r="D370" s="294" t="s">
        <v>628</v>
      </c>
      <c r="E370" s="274">
        <v>2022</v>
      </c>
      <c r="F370" s="274">
        <v>2024</v>
      </c>
      <c r="G370" s="294" t="s">
        <v>832</v>
      </c>
      <c r="H370" s="275" t="s">
        <v>836</v>
      </c>
      <c r="I370" s="295">
        <v>5000</v>
      </c>
      <c r="J370" s="295">
        <v>5000</v>
      </c>
      <c r="K370" s="295"/>
      <c r="L370" s="295"/>
      <c r="M370" s="295">
        <v>4934</v>
      </c>
      <c r="N370" s="276">
        <f t="shared" si="167"/>
        <v>4934</v>
      </c>
      <c r="O370" s="276"/>
      <c r="P370" s="276">
        <v>2000</v>
      </c>
      <c r="Q370" s="276">
        <v>2500</v>
      </c>
      <c r="R370" s="276">
        <v>434</v>
      </c>
      <c r="S370" s="296"/>
      <c r="T370" s="276">
        <f t="shared" si="168"/>
        <v>0</v>
      </c>
      <c r="U370" s="276">
        <f t="shared" si="169"/>
        <v>0</v>
      </c>
      <c r="V370" s="296">
        <v>4934</v>
      </c>
      <c r="W370" s="259"/>
      <c r="Y370" s="259"/>
      <c r="Z370" s="259">
        <v>1</v>
      </c>
      <c r="AA370" s="259"/>
      <c r="AB370" s="259"/>
    </row>
    <row r="371" spans="1:28" s="268" customFormat="1" ht="45" customHeight="1">
      <c r="A371" s="260">
        <v>7</v>
      </c>
      <c r="B371" s="309" t="s">
        <v>612</v>
      </c>
      <c r="C371" s="262" t="s">
        <v>39</v>
      </c>
      <c r="D371" s="294" t="s">
        <v>629</v>
      </c>
      <c r="E371" s="274">
        <v>2022</v>
      </c>
      <c r="F371" s="274">
        <v>2022</v>
      </c>
      <c r="G371" s="294" t="s">
        <v>837</v>
      </c>
      <c r="H371" s="275" t="s">
        <v>838</v>
      </c>
      <c r="I371" s="295">
        <v>1900</v>
      </c>
      <c r="J371" s="295">
        <v>1900</v>
      </c>
      <c r="K371" s="295"/>
      <c r="L371" s="295"/>
      <c r="M371" s="295">
        <v>1900</v>
      </c>
      <c r="N371" s="276">
        <f t="shared" si="167"/>
        <v>1900</v>
      </c>
      <c r="O371" s="276"/>
      <c r="P371" s="276">
        <v>1900</v>
      </c>
      <c r="Q371" s="276"/>
      <c r="R371" s="276"/>
      <c r="S371" s="296"/>
      <c r="T371" s="276">
        <f t="shared" si="168"/>
        <v>0</v>
      </c>
      <c r="U371" s="276">
        <f t="shared" si="169"/>
        <v>0</v>
      </c>
      <c r="V371" s="296">
        <v>1900</v>
      </c>
      <c r="W371" s="259"/>
      <c r="Y371" s="259"/>
      <c r="Z371" s="259">
        <v>1</v>
      </c>
      <c r="AA371" s="259"/>
      <c r="AB371" s="259"/>
    </row>
    <row r="372" spans="1:28" s="268" customFormat="1" ht="58.5" customHeight="1">
      <c r="A372" s="260">
        <v>8</v>
      </c>
      <c r="B372" s="309" t="s">
        <v>613</v>
      </c>
      <c r="C372" s="262" t="s">
        <v>39</v>
      </c>
      <c r="D372" s="294" t="s">
        <v>632</v>
      </c>
      <c r="E372" s="274">
        <v>2023</v>
      </c>
      <c r="F372" s="274">
        <v>2025</v>
      </c>
      <c r="G372" s="294" t="s">
        <v>839</v>
      </c>
      <c r="H372" s="275" t="s">
        <v>840</v>
      </c>
      <c r="I372" s="295">
        <v>7600</v>
      </c>
      <c r="J372" s="295">
        <v>7600</v>
      </c>
      <c r="K372" s="295"/>
      <c r="L372" s="295"/>
      <c r="M372" s="295">
        <v>7600</v>
      </c>
      <c r="N372" s="276">
        <f t="shared" si="167"/>
        <v>7381</v>
      </c>
      <c r="O372" s="276"/>
      <c r="P372" s="276">
        <v>200</v>
      </c>
      <c r="Q372" s="276">
        <v>2000</v>
      </c>
      <c r="R372" s="276">
        <v>1581</v>
      </c>
      <c r="S372" s="296">
        <v>3600</v>
      </c>
      <c r="T372" s="276">
        <f t="shared" si="168"/>
        <v>0</v>
      </c>
      <c r="U372" s="276">
        <f t="shared" si="169"/>
        <v>219</v>
      </c>
      <c r="V372" s="296">
        <v>7381</v>
      </c>
      <c r="W372" s="259"/>
      <c r="Y372" s="259"/>
      <c r="Z372" s="259">
        <v>1</v>
      </c>
      <c r="AA372" s="259"/>
      <c r="AB372" s="259"/>
    </row>
    <row r="373" spans="1:28" s="268" customFormat="1" ht="67.150000000000006" customHeight="1">
      <c r="A373" s="260">
        <v>9</v>
      </c>
      <c r="B373" s="309" t="s">
        <v>614</v>
      </c>
      <c r="C373" s="262" t="s">
        <v>39</v>
      </c>
      <c r="D373" s="294" t="s">
        <v>634</v>
      </c>
      <c r="E373" s="274">
        <v>2022</v>
      </c>
      <c r="F373" s="274">
        <v>2024</v>
      </c>
      <c r="G373" s="294" t="s">
        <v>841</v>
      </c>
      <c r="H373" s="275" t="s">
        <v>842</v>
      </c>
      <c r="I373" s="295">
        <v>12000</v>
      </c>
      <c r="J373" s="295">
        <v>12000</v>
      </c>
      <c r="K373" s="295"/>
      <c r="L373" s="295"/>
      <c r="M373" s="295">
        <v>12000</v>
      </c>
      <c r="N373" s="276">
        <f t="shared" si="167"/>
        <v>11974</v>
      </c>
      <c r="O373" s="276"/>
      <c r="P373" s="276">
        <v>2300</v>
      </c>
      <c r="Q373" s="276">
        <v>5748</v>
      </c>
      <c r="R373" s="276">
        <v>3926</v>
      </c>
      <c r="S373" s="296"/>
      <c r="T373" s="276">
        <f t="shared" si="168"/>
        <v>0</v>
      </c>
      <c r="U373" s="276">
        <f t="shared" si="169"/>
        <v>26</v>
      </c>
      <c r="V373" s="296">
        <v>11974</v>
      </c>
      <c r="W373" s="259"/>
      <c r="Y373" s="259"/>
      <c r="Z373" s="259">
        <v>1</v>
      </c>
      <c r="AA373" s="259"/>
      <c r="AB373" s="259"/>
    </row>
    <row r="374" spans="1:28" s="268" customFormat="1" ht="43.5" customHeight="1">
      <c r="A374" s="260">
        <v>10</v>
      </c>
      <c r="B374" s="309" t="s">
        <v>615</v>
      </c>
      <c r="C374" s="262" t="s">
        <v>39</v>
      </c>
      <c r="D374" s="294" t="s">
        <v>229</v>
      </c>
      <c r="E374" s="274">
        <v>2022</v>
      </c>
      <c r="F374" s="274">
        <v>2024</v>
      </c>
      <c r="G374" s="294" t="s">
        <v>843</v>
      </c>
      <c r="H374" s="275" t="s">
        <v>844</v>
      </c>
      <c r="I374" s="295">
        <v>6500</v>
      </c>
      <c r="J374" s="295">
        <v>6500</v>
      </c>
      <c r="K374" s="295"/>
      <c r="L374" s="295"/>
      <c r="M374" s="295">
        <v>6500</v>
      </c>
      <c r="N374" s="276">
        <f t="shared" si="167"/>
        <v>6474</v>
      </c>
      <c r="O374" s="276"/>
      <c r="P374" s="276">
        <v>4000</v>
      </c>
      <c r="Q374" s="276">
        <v>2000</v>
      </c>
      <c r="R374" s="276">
        <v>474</v>
      </c>
      <c r="S374" s="296"/>
      <c r="T374" s="276">
        <f t="shared" si="168"/>
        <v>0</v>
      </c>
      <c r="U374" s="276">
        <f t="shared" si="169"/>
        <v>26</v>
      </c>
      <c r="V374" s="296">
        <v>6474</v>
      </c>
      <c r="W374" s="259"/>
      <c r="Y374" s="259"/>
      <c r="Z374" s="259">
        <v>1</v>
      </c>
      <c r="AA374" s="259"/>
      <c r="AB374" s="259"/>
    </row>
    <row r="375" spans="1:28" s="268" customFormat="1" ht="52.5" customHeight="1">
      <c r="A375" s="260">
        <v>11</v>
      </c>
      <c r="B375" s="309" t="s">
        <v>486</v>
      </c>
      <c r="C375" s="262" t="s">
        <v>39</v>
      </c>
      <c r="D375" s="294"/>
      <c r="E375" s="274"/>
      <c r="F375" s="274"/>
      <c r="G375" s="294"/>
      <c r="H375" s="275" t="s">
        <v>719</v>
      </c>
      <c r="I375" s="295">
        <v>30000</v>
      </c>
      <c r="J375" s="295">
        <v>14015</v>
      </c>
      <c r="K375" s="295"/>
      <c r="L375" s="295"/>
      <c r="M375" s="295">
        <v>9179</v>
      </c>
      <c r="N375" s="276">
        <f t="shared" si="167"/>
        <v>8810</v>
      </c>
      <c r="O375" s="276"/>
      <c r="P375" s="276"/>
      <c r="Q375" s="276"/>
      <c r="R375" s="276">
        <v>4810</v>
      </c>
      <c r="S375" s="296">
        <v>4000</v>
      </c>
      <c r="T375" s="276">
        <f t="shared" si="168"/>
        <v>0</v>
      </c>
      <c r="U375" s="276">
        <f t="shared" si="169"/>
        <v>369</v>
      </c>
      <c r="V375" s="296">
        <v>8810</v>
      </c>
      <c r="W375" s="262" t="s">
        <v>2004</v>
      </c>
      <c r="Y375" s="259"/>
      <c r="Z375" s="259">
        <v>1</v>
      </c>
      <c r="AA375" s="259"/>
      <c r="AB375" s="259"/>
    </row>
    <row r="376" spans="1:28" s="268" customFormat="1" ht="43.5" customHeight="1">
      <c r="A376" s="260">
        <v>12</v>
      </c>
      <c r="B376" s="309" t="s">
        <v>616</v>
      </c>
      <c r="C376" s="262" t="s">
        <v>39</v>
      </c>
      <c r="D376" s="294" t="s">
        <v>229</v>
      </c>
      <c r="E376" s="274">
        <v>2023</v>
      </c>
      <c r="F376" s="274">
        <v>2023</v>
      </c>
      <c r="G376" s="294" t="s">
        <v>711</v>
      </c>
      <c r="H376" s="275" t="s">
        <v>845</v>
      </c>
      <c r="I376" s="295">
        <v>1500</v>
      </c>
      <c r="J376" s="295">
        <v>1500</v>
      </c>
      <c r="K376" s="295"/>
      <c r="L376" s="295"/>
      <c r="M376" s="295">
        <v>1500</v>
      </c>
      <c r="N376" s="276">
        <f t="shared" si="167"/>
        <v>1448</v>
      </c>
      <c r="O376" s="276"/>
      <c r="P376" s="276">
        <v>50</v>
      </c>
      <c r="Q376" s="276">
        <v>1200</v>
      </c>
      <c r="R376" s="276">
        <v>198</v>
      </c>
      <c r="S376" s="296"/>
      <c r="T376" s="276">
        <f t="shared" si="168"/>
        <v>0</v>
      </c>
      <c r="U376" s="276">
        <f t="shared" si="169"/>
        <v>52</v>
      </c>
      <c r="V376" s="296">
        <v>1448</v>
      </c>
      <c r="W376" s="259"/>
      <c r="Y376" s="259"/>
      <c r="Z376" s="259">
        <v>1</v>
      </c>
      <c r="AA376" s="259"/>
      <c r="AB376" s="259"/>
    </row>
    <row r="377" spans="1:28" s="268" customFormat="1" ht="33" customHeight="1">
      <c r="A377" s="261" t="s">
        <v>66</v>
      </c>
      <c r="B377" s="272" t="s">
        <v>617</v>
      </c>
      <c r="C377" s="262"/>
      <c r="D377" s="301"/>
      <c r="E377" s="278"/>
      <c r="F377" s="278"/>
      <c r="G377" s="301"/>
      <c r="H377" s="263"/>
      <c r="I377" s="302">
        <f>I378</f>
        <v>8000</v>
      </c>
      <c r="J377" s="302">
        <f t="shared" ref="J377:V378" si="181">J378</f>
        <v>8000</v>
      </c>
      <c r="K377" s="302">
        <f t="shared" si="181"/>
        <v>0</v>
      </c>
      <c r="L377" s="302">
        <f t="shared" si="181"/>
        <v>0</v>
      </c>
      <c r="M377" s="302">
        <f t="shared" si="181"/>
        <v>387</v>
      </c>
      <c r="N377" s="302">
        <f t="shared" si="181"/>
        <v>387</v>
      </c>
      <c r="O377" s="302">
        <f t="shared" si="181"/>
        <v>0</v>
      </c>
      <c r="P377" s="302">
        <f t="shared" si="181"/>
        <v>0</v>
      </c>
      <c r="Q377" s="302">
        <f t="shared" si="181"/>
        <v>0</v>
      </c>
      <c r="R377" s="302">
        <f t="shared" si="181"/>
        <v>0</v>
      </c>
      <c r="S377" s="302">
        <f t="shared" si="181"/>
        <v>387</v>
      </c>
      <c r="T377" s="302">
        <f t="shared" si="181"/>
        <v>0</v>
      </c>
      <c r="U377" s="302">
        <f t="shared" si="181"/>
        <v>0</v>
      </c>
      <c r="V377" s="302">
        <f t="shared" si="181"/>
        <v>387</v>
      </c>
      <c r="W377" s="259"/>
      <c r="Y377" s="259"/>
      <c r="Z377" s="259"/>
      <c r="AA377" s="259"/>
      <c r="AB377" s="259"/>
    </row>
    <row r="378" spans="1:28" s="268" customFormat="1" ht="33" customHeight="1">
      <c r="A378" s="271" t="s">
        <v>408</v>
      </c>
      <c r="B378" s="272" t="s">
        <v>99</v>
      </c>
      <c r="C378" s="262"/>
      <c r="D378" s="301"/>
      <c r="E378" s="278"/>
      <c r="F378" s="278"/>
      <c r="G378" s="301"/>
      <c r="H378" s="263"/>
      <c r="I378" s="302">
        <f>I379</f>
        <v>8000</v>
      </c>
      <c r="J378" s="302">
        <f t="shared" si="181"/>
        <v>8000</v>
      </c>
      <c r="K378" s="302">
        <f t="shared" si="181"/>
        <v>0</v>
      </c>
      <c r="L378" s="302">
        <f t="shared" si="181"/>
        <v>0</v>
      </c>
      <c r="M378" s="302">
        <f t="shared" si="181"/>
        <v>387</v>
      </c>
      <c r="N378" s="302">
        <f t="shared" ref="N378:V378" si="182">N379</f>
        <v>387</v>
      </c>
      <c r="O378" s="302">
        <f t="shared" si="182"/>
        <v>0</v>
      </c>
      <c r="P378" s="302">
        <f t="shared" si="182"/>
        <v>0</v>
      </c>
      <c r="Q378" s="302">
        <f t="shared" si="182"/>
        <v>0</v>
      </c>
      <c r="R378" s="302">
        <f t="shared" si="182"/>
        <v>0</v>
      </c>
      <c r="S378" s="302">
        <f t="shared" si="182"/>
        <v>387</v>
      </c>
      <c r="T378" s="302">
        <f t="shared" si="182"/>
        <v>0</v>
      </c>
      <c r="U378" s="302">
        <f t="shared" si="182"/>
        <v>0</v>
      </c>
      <c r="V378" s="302">
        <f t="shared" si="182"/>
        <v>387</v>
      </c>
      <c r="W378" s="259"/>
      <c r="Y378" s="259"/>
      <c r="Z378" s="259"/>
      <c r="AA378" s="259"/>
      <c r="AB378" s="259"/>
    </row>
    <row r="379" spans="1:28" s="268" customFormat="1" ht="108.75" customHeight="1">
      <c r="A379" s="260">
        <v>1</v>
      </c>
      <c r="B379" s="309" t="s">
        <v>618</v>
      </c>
      <c r="C379" s="262" t="s">
        <v>39</v>
      </c>
      <c r="D379" s="294"/>
      <c r="E379" s="274"/>
      <c r="F379" s="274"/>
      <c r="G379" s="294"/>
      <c r="H379" s="275" t="s">
        <v>1051</v>
      </c>
      <c r="I379" s="295">
        <v>8000</v>
      </c>
      <c r="J379" s="295">
        <v>8000</v>
      </c>
      <c r="K379" s="295"/>
      <c r="L379" s="295"/>
      <c r="M379" s="295">
        <v>387</v>
      </c>
      <c r="N379" s="276">
        <f t="shared" si="167"/>
        <v>387</v>
      </c>
      <c r="O379" s="276"/>
      <c r="P379" s="276"/>
      <c r="Q379" s="276"/>
      <c r="R379" s="276"/>
      <c r="S379" s="296">
        <v>387</v>
      </c>
      <c r="T379" s="276">
        <f t="shared" si="168"/>
        <v>0</v>
      </c>
      <c r="U379" s="276">
        <f t="shared" si="169"/>
        <v>0</v>
      </c>
      <c r="V379" s="296">
        <v>387</v>
      </c>
      <c r="W379" s="259"/>
      <c r="Y379" s="259"/>
      <c r="Z379" s="259"/>
      <c r="AA379" s="259"/>
      <c r="AB379" s="259">
        <v>1</v>
      </c>
    </row>
    <row r="380" spans="1:28" s="268" customFormat="1" ht="37.5" customHeight="1">
      <c r="A380" s="261" t="s">
        <v>131</v>
      </c>
      <c r="B380" s="290" t="s">
        <v>619</v>
      </c>
      <c r="C380" s="262"/>
      <c r="D380" s="301"/>
      <c r="E380" s="278"/>
      <c r="F380" s="278"/>
      <c r="G380" s="261"/>
      <c r="H380" s="263"/>
      <c r="I380" s="264">
        <f>I381</f>
        <v>27500</v>
      </c>
      <c r="J380" s="264">
        <f t="shared" ref="J380:W380" si="183">J381</f>
        <v>27500</v>
      </c>
      <c r="K380" s="264">
        <f t="shared" si="183"/>
        <v>0</v>
      </c>
      <c r="L380" s="264">
        <f t="shared" si="183"/>
        <v>0</v>
      </c>
      <c r="M380" s="264">
        <f t="shared" si="183"/>
        <v>16800</v>
      </c>
      <c r="N380" s="264">
        <f t="shared" si="183"/>
        <v>16360</v>
      </c>
      <c r="O380" s="264">
        <f t="shared" si="183"/>
        <v>3000</v>
      </c>
      <c r="P380" s="264">
        <f t="shared" si="183"/>
        <v>0</v>
      </c>
      <c r="Q380" s="264">
        <f t="shared" si="183"/>
        <v>0</v>
      </c>
      <c r="R380" s="264">
        <f t="shared" si="183"/>
        <v>900</v>
      </c>
      <c r="S380" s="264">
        <f t="shared" si="183"/>
        <v>12460</v>
      </c>
      <c r="T380" s="264">
        <f t="shared" si="183"/>
        <v>0</v>
      </c>
      <c r="U380" s="264">
        <f t="shared" si="183"/>
        <v>440</v>
      </c>
      <c r="V380" s="264">
        <f t="shared" si="183"/>
        <v>16360</v>
      </c>
      <c r="W380" s="261">
        <f t="shared" si="183"/>
        <v>0</v>
      </c>
      <c r="Y380" s="259"/>
      <c r="Z380" s="259"/>
      <c r="AA380" s="259"/>
      <c r="AB380" s="259"/>
    </row>
    <row r="381" spans="1:28" s="268" customFormat="1" ht="41.45" customHeight="1">
      <c r="A381" s="271" t="s">
        <v>408</v>
      </c>
      <c r="B381" s="272" t="s">
        <v>36</v>
      </c>
      <c r="C381" s="262"/>
      <c r="D381" s="301"/>
      <c r="E381" s="278"/>
      <c r="F381" s="278"/>
      <c r="G381" s="261"/>
      <c r="H381" s="263"/>
      <c r="I381" s="264">
        <f>I382+I387</f>
        <v>27500</v>
      </c>
      <c r="J381" s="264">
        <f t="shared" ref="J381:M381" si="184">J382+J387</f>
        <v>27500</v>
      </c>
      <c r="K381" s="264">
        <f t="shared" si="184"/>
        <v>0</v>
      </c>
      <c r="L381" s="264">
        <f t="shared" si="184"/>
        <v>0</v>
      </c>
      <c r="M381" s="264">
        <f t="shared" si="184"/>
        <v>16800</v>
      </c>
      <c r="N381" s="264">
        <f t="shared" ref="N381:W381" si="185">N382+N387</f>
        <v>16360</v>
      </c>
      <c r="O381" s="264">
        <f t="shared" si="185"/>
        <v>3000</v>
      </c>
      <c r="P381" s="264">
        <f t="shared" si="185"/>
        <v>0</v>
      </c>
      <c r="Q381" s="264">
        <f t="shared" si="185"/>
        <v>0</v>
      </c>
      <c r="R381" s="264">
        <f t="shared" si="185"/>
        <v>900</v>
      </c>
      <c r="S381" s="264">
        <f t="shared" si="185"/>
        <v>12460</v>
      </c>
      <c r="T381" s="264">
        <f t="shared" si="185"/>
        <v>0</v>
      </c>
      <c r="U381" s="264">
        <f t="shared" si="185"/>
        <v>440</v>
      </c>
      <c r="V381" s="264">
        <f t="shared" si="185"/>
        <v>16360</v>
      </c>
      <c r="W381" s="261">
        <f t="shared" si="185"/>
        <v>0</v>
      </c>
      <c r="Y381" s="259"/>
      <c r="Z381" s="259"/>
      <c r="AA381" s="259"/>
      <c r="AB381" s="259"/>
    </row>
    <row r="382" spans="1:28" s="288" customFormat="1" ht="41.45" customHeight="1">
      <c r="A382" s="279" t="s">
        <v>96</v>
      </c>
      <c r="B382" s="280" t="s">
        <v>123</v>
      </c>
      <c r="C382" s="306"/>
      <c r="D382" s="310"/>
      <c r="E382" s="283"/>
      <c r="F382" s="283"/>
      <c r="G382" s="282"/>
      <c r="H382" s="284"/>
      <c r="I382" s="285">
        <f>SUM(I383:I386)</f>
        <v>13000</v>
      </c>
      <c r="J382" s="285">
        <f t="shared" ref="J382:M382" si="186">SUM(J383:J386)</f>
        <v>13000</v>
      </c>
      <c r="K382" s="285">
        <f t="shared" si="186"/>
        <v>0</v>
      </c>
      <c r="L382" s="285">
        <f t="shared" si="186"/>
        <v>0</v>
      </c>
      <c r="M382" s="285">
        <f t="shared" si="186"/>
        <v>16000</v>
      </c>
      <c r="N382" s="285">
        <f t="shared" ref="N382:W382" si="187">SUM(N383:N386)</f>
        <v>15560</v>
      </c>
      <c r="O382" s="285">
        <f t="shared" si="187"/>
        <v>3000</v>
      </c>
      <c r="P382" s="285">
        <f t="shared" si="187"/>
        <v>0</v>
      </c>
      <c r="Q382" s="285">
        <f t="shared" si="187"/>
        <v>0</v>
      </c>
      <c r="R382" s="285">
        <f t="shared" si="187"/>
        <v>600</v>
      </c>
      <c r="S382" s="285">
        <f t="shared" si="187"/>
        <v>11960</v>
      </c>
      <c r="T382" s="285">
        <f t="shared" si="187"/>
        <v>0</v>
      </c>
      <c r="U382" s="285">
        <f t="shared" si="187"/>
        <v>440</v>
      </c>
      <c r="V382" s="285">
        <f t="shared" si="187"/>
        <v>15560</v>
      </c>
      <c r="W382" s="282">
        <f t="shared" si="187"/>
        <v>0</v>
      </c>
      <c r="Y382" s="308"/>
      <c r="Z382" s="308"/>
      <c r="AA382" s="308"/>
      <c r="AB382" s="308"/>
    </row>
    <row r="383" spans="1:28" s="298" customFormat="1" ht="24" customHeight="1">
      <c r="A383" s="260">
        <v>1</v>
      </c>
      <c r="B383" s="273" t="s">
        <v>620</v>
      </c>
      <c r="C383" s="262"/>
      <c r="D383" s="294"/>
      <c r="E383" s="274"/>
      <c r="F383" s="274"/>
      <c r="G383" s="260"/>
      <c r="H383" s="275"/>
      <c r="I383" s="276"/>
      <c r="J383" s="276"/>
      <c r="K383" s="276"/>
      <c r="L383" s="276"/>
      <c r="M383" s="276">
        <v>3000</v>
      </c>
      <c r="N383" s="276">
        <f t="shared" si="167"/>
        <v>3000</v>
      </c>
      <c r="O383" s="276">
        <v>3000</v>
      </c>
      <c r="P383" s="276"/>
      <c r="Q383" s="276"/>
      <c r="R383" s="276"/>
      <c r="S383" s="296"/>
      <c r="T383" s="276">
        <f t="shared" si="168"/>
        <v>0</v>
      </c>
      <c r="U383" s="276">
        <f t="shared" si="169"/>
        <v>0</v>
      </c>
      <c r="V383" s="296">
        <v>3000</v>
      </c>
      <c r="W383" s="259"/>
      <c r="Y383" s="259"/>
      <c r="Z383" s="259">
        <v>1</v>
      </c>
      <c r="AA383" s="259"/>
      <c r="AB383" s="259"/>
    </row>
    <row r="384" spans="1:28" s="298" customFormat="1" ht="48.75" customHeight="1">
      <c r="A384" s="260">
        <v>2</v>
      </c>
      <c r="B384" s="273" t="s">
        <v>621</v>
      </c>
      <c r="C384" s="262" t="s">
        <v>39</v>
      </c>
      <c r="D384" s="294" t="s">
        <v>229</v>
      </c>
      <c r="E384" s="297">
        <v>2024</v>
      </c>
      <c r="F384" s="274">
        <v>2025</v>
      </c>
      <c r="G384" s="260" t="s">
        <v>867</v>
      </c>
      <c r="H384" s="275" t="s">
        <v>846</v>
      </c>
      <c r="I384" s="276">
        <v>4950</v>
      </c>
      <c r="J384" s="276">
        <v>4950</v>
      </c>
      <c r="K384" s="276"/>
      <c r="L384" s="276"/>
      <c r="M384" s="276">
        <v>4950</v>
      </c>
      <c r="N384" s="276">
        <f t="shared" si="167"/>
        <v>4800</v>
      </c>
      <c r="O384" s="276"/>
      <c r="P384" s="276"/>
      <c r="Q384" s="276"/>
      <c r="R384" s="276">
        <v>200</v>
      </c>
      <c r="S384" s="296">
        <v>4600</v>
      </c>
      <c r="T384" s="276">
        <f t="shared" si="168"/>
        <v>0</v>
      </c>
      <c r="U384" s="276">
        <f t="shared" si="169"/>
        <v>150</v>
      </c>
      <c r="V384" s="296">
        <v>4800</v>
      </c>
      <c r="W384" s="259"/>
      <c r="Y384" s="259"/>
      <c r="Z384" s="259">
        <v>1</v>
      </c>
      <c r="AA384" s="259"/>
      <c r="AB384" s="259"/>
    </row>
    <row r="385" spans="1:28" s="298" customFormat="1" ht="50.25" customHeight="1">
      <c r="A385" s="260">
        <v>3</v>
      </c>
      <c r="B385" s="273" t="s">
        <v>622</v>
      </c>
      <c r="C385" s="262" t="s">
        <v>39</v>
      </c>
      <c r="D385" s="294" t="s">
        <v>229</v>
      </c>
      <c r="E385" s="297">
        <v>2024</v>
      </c>
      <c r="F385" s="274">
        <v>2025</v>
      </c>
      <c r="G385" s="274" t="s">
        <v>866</v>
      </c>
      <c r="H385" s="275" t="s">
        <v>847</v>
      </c>
      <c r="I385" s="276">
        <v>4500</v>
      </c>
      <c r="J385" s="276">
        <v>4500</v>
      </c>
      <c r="K385" s="276"/>
      <c r="L385" s="276"/>
      <c r="M385" s="276">
        <v>4500</v>
      </c>
      <c r="N385" s="276">
        <f t="shared" si="167"/>
        <v>4350</v>
      </c>
      <c r="O385" s="276"/>
      <c r="P385" s="276"/>
      <c r="Q385" s="276"/>
      <c r="R385" s="276">
        <v>200</v>
      </c>
      <c r="S385" s="296">
        <v>4150</v>
      </c>
      <c r="T385" s="276">
        <f t="shared" si="168"/>
        <v>0</v>
      </c>
      <c r="U385" s="276">
        <f t="shared" si="169"/>
        <v>150</v>
      </c>
      <c r="V385" s="296">
        <v>4350</v>
      </c>
      <c r="W385" s="259"/>
      <c r="Y385" s="259"/>
      <c r="Z385" s="259">
        <v>1</v>
      </c>
      <c r="AA385" s="259"/>
      <c r="AB385" s="259"/>
    </row>
    <row r="386" spans="1:28" s="298" customFormat="1" ht="48" customHeight="1">
      <c r="A386" s="260">
        <v>4</v>
      </c>
      <c r="B386" s="273" t="s">
        <v>623</v>
      </c>
      <c r="C386" s="262" t="s">
        <v>39</v>
      </c>
      <c r="D386" s="294" t="s">
        <v>229</v>
      </c>
      <c r="E386" s="297">
        <v>2024</v>
      </c>
      <c r="F386" s="274">
        <v>2025</v>
      </c>
      <c r="G386" s="260" t="s">
        <v>868</v>
      </c>
      <c r="H386" s="275" t="s">
        <v>848</v>
      </c>
      <c r="I386" s="276">
        <v>3550</v>
      </c>
      <c r="J386" s="276">
        <v>3550</v>
      </c>
      <c r="K386" s="276"/>
      <c r="L386" s="276"/>
      <c r="M386" s="276">
        <v>3550</v>
      </c>
      <c r="N386" s="276">
        <f t="shared" si="167"/>
        <v>3410</v>
      </c>
      <c r="O386" s="276"/>
      <c r="P386" s="276"/>
      <c r="Q386" s="276"/>
      <c r="R386" s="276">
        <v>200</v>
      </c>
      <c r="S386" s="296">
        <v>3210</v>
      </c>
      <c r="T386" s="276">
        <f t="shared" si="168"/>
        <v>0</v>
      </c>
      <c r="U386" s="276">
        <f t="shared" si="169"/>
        <v>140</v>
      </c>
      <c r="V386" s="296">
        <v>3410</v>
      </c>
      <c r="W386" s="259"/>
      <c r="Y386" s="259"/>
      <c r="Z386" s="259">
        <v>1</v>
      </c>
      <c r="AA386" s="259"/>
      <c r="AB386" s="259"/>
    </row>
    <row r="387" spans="1:28" s="288" customFormat="1" ht="21.75" customHeight="1">
      <c r="A387" s="279" t="s">
        <v>97</v>
      </c>
      <c r="B387" s="280" t="s">
        <v>98</v>
      </c>
      <c r="C387" s="281"/>
      <c r="D387" s="310"/>
      <c r="E387" s="286"/>
      <c r="F387" s="283"/>
      <c r="G387" s="282"/>
      <c r="H387" s="284"/>
      <c r="I387" s="285">
        <f>I388</f>
        <v>14500</v>
      </c>
      <c r="J387" s="285">
        <f t="shared" ref="J387:V387" si="188">J388</f>
        <v>14500</v>
      </c>
      <c r="K387" s="285">
        <f t="shared" si="188"/>
        <v>0</v>
      </c>
      <c r="L387" s="285">
        <f t="shared" si="188"/>
        <v>0</v>
      </c>
      <c r="M387" s="285">
        <f t="shared" si="188"/>
        <v>800</v>
      </c>
      <c r="N387" s="285">
        <f t="shared" si="188"/>
        <v>800</v>
      </c>
      <c r="O387" s="285">
        <f t="shared" si="188"/>
        <v>0</v>
      </c>
      <c r="P387" s="285">
        <f t="shared" si="188"/>
        <v>0</v>
      </c>
      <c r="Q387" s="285">
        <f t="shared" si="188"/>
        <v>0</v>
      </c>
      <c r="R387" s="285">
        <f t="shared" si="188"/>
        <v>300</v>
      </c>
      <c r="S387" s="285">
        <f t="shared" si="188"/>
        <v>500</v>
      </c>
      <c r="T387" s="285">
        <f t="shared" si="188"/>
        <v>0</v>
      </c>
      <c r="U387" s="285">
        <f t="shared" si="188"/>
        <v>0</v>
      </c>
      <c r="V387" s="285">
        <f t="shared" si="188"/>
        <v>800</v>
      </c>
      <c r="W387" s="287"/>
      <c r="Y387" s="287"/>
      <c r="Z387" s="287"/>
      <c r="AA387" s="287"/>
      <c r="AB387" s="287"/>
    </row>
    <row r="388" spans="1:28" s="298" customFormat="1" ht="36.75" customHeight="1">
      <c r="A388" s="260">
        <v>1</v>
      </c>
      <c r="B388" s="273" t="s">
        <v>624</v>
      </c>
      <c r="C388" s="262" t="s">
        <v>39</v>
      </c>
      <c r="D388" s="294"/>
      <c r="E388" s="274"/>
      <c r="F388" s="274"/>
      <c r="G388" s="260"/>
      <c r="H388" s="275" t="s">
        <v>1043</v>
      </c>
      <c r="I388" s="276">
        <v>14500</v>
      </c>
      <c r="J388" s="276">
        <v>14500</v>
      </c>
      <c r="K388" s="276"/>
      <c r="L388" s="276"/>
      <c r="M388" s="276">
        <v>800</v>
      </c>
      <c r="N388" s="276">
        <f t="shared" si="167"/>
        <v>800</v>
      </c>
      <c r="O388" s="276"/>
      <c r="P388" s="276"/>
      <c r="Q388" s="276"/>
      <c r="R388" s="276">
        <v>300</v>
      </c>
      <c r="S388" s="296">
        <v>500</v>
      </c>
      <c r="T388" s="276">
        <f t="shared" si="168"/>
        <v>0</v>
      </c>
      <c r="U388" s="276">
        <f t="shared" si="169"/>
        <v>0</v>
      </c>
      <c r="V388" s="296">
        <v>800</v>
      </c>
      <c r="W388" s="547" t="s">
        <v>1083</v>
      </c>
      <c r="Y388" s="259"/>
      <c r="Z388" s="259"/>
      <c r="AA388" s="259">
        <v>1</v>
      </c>
      <c r="AB388" s="259"/>
    </row>
    <row r="389" spans="1:28" s="268" customFormat="1" ht="59.25" customHeight="1">
      <c r="A389" s="261" t="s">
        <v>1069</v>
      </c>
      <c r="B389" s="290" t="s">
        <v>1070</v>
      </c>
      <c r="C389" s="277"/>
      <c r="D389" s="265"/>
      <c r="E389" s="265"/>
      <c r="F389" s="265"/>
      <c r="G389" s="265"/>
      <c r="H389" s="265"/>
      <c r="I389" s="265"/>
      <c r="J389" s="265"/>
      <c r="K389" s="265"/>
      <c r="L389" s="265"/>
      <c r="M389" s="264">
        <v>1100</v>
      </c>
      <c r="N389" s="264">
        <f t="shared" si="167"/>
        <v>214200</v>
      </c>
      <c r="O389" s="264">
        <v>1100</v>
      </c>
      <c r="P389" s="264">
        <v>24200</v>
      </c>
      <c r="Q389" s="264">
        <v>68300</v>
      </c>
      <c r="R389" s="264">
        <v>65400</v>
      </c>
      <c r="S389" s="291">
        <v>55200</v>
      </c>
      <c r="T389" s="264">
        <f t="shared" si="168"/>
        <v>213100</v>
      </c>
      <c r="U389" s="264">
        <f t="shared" si="169"/>
        <v>0</v>
      </c>
      <c r="V389" s="264">
        <v>214200</v>
      </c>
      <c r="W389" s="267"/>
      <c r="Y389" s="267"/>
      <c r="Z389" s="267"/>
      <c r="AA389" s="267"/>
      <c r="AB389" s="267"/>
    </row>
    <row r="390" spans="1:28">
      <c r="Y390" s="259"/>
      <c r="Z390" s="259"/>
      <c r="AA390" s="259"/>
      <c r="AB390" s="259"/>
    </row>
    <row r="391" spans="1:28">
      <c r="B391" s="258" t="s">
        <v>95</v>
      </c>
      <c r="Y391" s="259"/>
      <c r="Z391" s="259"/>
      <c r="AA391" s="259"/>
      <c r="AB391" s="259"/>
    </row>
    <row r="392" spans="1:28">
      <c r="Y392" s="259"/>
      <c r="Z392" s="259"/>
      <c r="AA392" s="259"/>
      <c r="AB392" s="259"/>
    </row>
  </sheetData>
  <mergeCells count="38">
    <mergeCell ref="I7:J7"/>
    <mergeCell ref="W5:W11"/>
    <mergeCell ref="K7:K11"/>
    <mergeCell ref="L7:L11"/>
    <mergeCell ref="K5:L6"/>
    <mergeCell ref="I8:I11"/>
    <mergeCell ref="J8:J11"/>
    <mergeCell ref="T5:U6"/>
    <mergeCell ref="T7:T11"/>
    <mergeCell ref="U7:U11"/>
    <mergeCell ref="V5:V11"/>
    <mergeCell ref="M5:M11"/>
    <mergeCell ref="O7:O11"/>
    <mergeCell ref="P7:P11"/>
    <mergeCell ref="Q7:Q11"/>
    <mergeCell ref="N5:S6"/>
    <mergeCell ref="A1:W1"/>
    <mergeCell ref="A3:W3"/>
    <mergeCell ref="A2:W2"/>
    <mergeCell ref="A4:W4"/>
    <mergeCell ref="A5:A11"/>
    <mergeCell ref="B5:B11"/>
    <mergeCell ref="D5:D11"/>
    <mergeCell ref="E5:F6"/>
    <mergeCell ref="G5:G11"/>
    <mergeCell ref="C5:C11"/>
    <mergeCell ref="H5:J6"/>
    <mergeCell ref="E7:E11"/>
    <mergeCell ref="F7:F11"/>
    <mergeCell ref="H7:H11"/>
    <mergeCell ref="N7:N11"/>
    <mergeCell ref="R7:R11"/>
    <mergeCell ref="S7:S11"/>
    <mergeCell ref="Y5:AB5"/>
    <mergeCell ref="Y6:Y10"/>
    <mergeCell ref="Z6:Z10"/>
    <mergeCell ref="AA6:AA10"/>
    <mergeCell ref="AB6:AB10"/>
  </mergeCells>
  <phoneticPr fontId="14" type="noConversion"/>
  <pageMargins left="0.70866141732283472" right="0.70866141732283472" top="0.74803149606299213" bottom="0.74803149606299213" header="0.31496062992125984" footer="0.31496062992125984"/>
  <pageSetup paperSize="9" scale="45" fitToHeight="0" orientation="landscape" r:id="rId1"/>
  <ignoredErrors>
    <ignoredError sqref="A178:A179" numberStoredAsText="1"/>
    <ignoredError sqref="T251:U251 N251 T379:U379 N379" formula="1"/>
  </ignoredErrors>
</worksheet>
</file>

<file path=xl/worksheets/sheet3.xml><?xml version="1.0" encoding="utf-8"?>
<worksheet xmlns="http://schemas.openxmlformats.org/spreadsheetml/2006/main" xmlns:r="http://schemas.openxmlformats.org/officeDocument/2006/relationships">
  <sheetPr>
    <tabColor rgb="FF00B0F0"/>
  </sheetPr>
  <dimension ref="A1:N312"/>
  <sheetViews>
    <sheetView view="pageBreakPreview" topLeftCell="A316" zoomScale="85" zoomScaleNormal="85" zoomScaleSheetLayoutView="85" workbookViewId="0">
      <selection activeCell="E100" sqref="E100"/>
    </sheetView>
  </sheetViews>
  <sheetFormatPr defaultColWidth="9.1328125" defaultRowHeight="13.9"/>
  <cols>
    <col min="1" max="1" width="6" style="320" customWidth="1"/>
    <col min="2" max="2" width="28.3984375" style="320" customWidth="1"/>
    <col min="3" max="3" width="13.265625" style="320" customWidth="1"/>
    <col min="4" max="4" width="14.73046875" style="320" customWidth="1"/>
    <col min="5" max="5" width="14.265625" style="320" customWidth="1"/>
    <col min="6" max="6" width="16.1328125" style="320" customWidth="1"/>
    <col min="7" max="7" width="16" style="320" customWidth="1"/>
    <col min="8" max="8" width="14.265625" style="320" customWidth="1"/>
    <col min="9" max="9" width="17.3984375" style="320" customWidth="1"/>
    <col min="10" max="10" width="17.265625" style="320" customWidth="1"/>
    <col min="11" max="11" width="14" style="320" customWidth="1"/>
    <col min="12" max="12" width="10.3984375" style="320" bestFit="1" customWidth="1"/>
    <col min="13" max="13" width="9.1328125" style="320"/>
    <col min="14" max="14" width="10.3984375" style="320" bestFit="1" customWidth="1"/>
    <col min="15" max="15" width="9.1328125" style="320"/>
    <col min="16" max="16" width="10.3984375" style="320" bestFit="1" customWidth="1"/>
    <col min="17" max="16384" width="9.1328125" style="320"/>
  </cols>
  <sheetData>
    <row r="1" spans="1:12" ht="17.25" customHeight="1">
      <c r="A1" s="683" t="s">
        <v>1251</v>
      </c>
      <c r="B1" s="683"/>
      <c r="C1" s="683"/>
      <c r="D1" s="683"/>
      <c r="E1" s="683"/>
      <c r="F1" s="683"/>
      <c r="G1" s="683"/>
      <c r="H1" s="683"/>
      <c r="I1" s="683"/>
      <c r="J1" s="683"/>
    </row>
    <row r="2" spans="1:12" ht="17.25" customHeight="1">
      <c r="A2" s="684" t="s">
        <v>1256</v>
      </c>
      <c r="B2" s="684"/>
      <c r="C2" s="684"/>
      <c r="D2" s="684"/>
      <c r="E2" s="684"/>
      <c r="F2" s="684"/>
      <c r="G2" s="684"/>
      <c r="H2" s="684"/>
      <c r="I2" s="684"/>
      <c r="J2" s="684"/>
    </row>
    <row r="3" spans="1:12" ht="14.65" customHeight="1">
      <c r="A3" s="684"/>
      <c r="B3" s="684"/>
      <c r="C3" s="684"/>
      <c r="D3" s="684"/>
      <c r="E3" s="684"/>
      <c r="F3" s="684"/>
      <c r="G3" s="684"/>
      <c r="H3" s="684"/>
      <c r="I3" s="684"/>
      <c r="J3" s="684"/>
    </row>
    <row r="4" spans="1:12" ht="4.5" customHeight="1">
      <c r="A4" s="684"/>
      <c r="B4" s="684"/>
      <c r="C4" s="684"/>
      <c r="D4" s="684"/>
      <c r="E4" s="684"/>
      <c r="F4" s="684"/>
      <c r="G4" s="684"/>
      <c r="H4" s="684"/>
      <c r="I4" s="684"/>
      <c r="J4" s="684"/>
    </row>
    <row r="5" spans="1:12" ht="20.25" customHeight="1">
      <c r="A5" s="685" t="str">
        <f>'B2 NSĐP 21-25'!A3:W3</f>
        <v>(Kèm theo Nghị quyết số                /NQ-HĐND ngày  28/4/2025 của Hội đồng nhân dân tỉnh)</v>
      </c>
      <c r="B5" s="685"/>
      <c r="C5" s="685"/>
      <c r="D5" s="685"/>
      <c r="E5" s="685"/>
      <c r="F5" s="685"/>
      <c r="G5" s="685"/>
      <c r="H5" s="685"/>
      <c r="I5" s="685"/>
      <c r="J5" s="685"/>
    </row>
    <row r="6" spans="1:12">
      <c r="H6" s="321"/>
      <c r="I6" s="321"/>
      <c r="J6" s="322" t="s">
        <v>1257</v>
      </c>
    </row>
    <row r="7" spans="1:12" ht="30" customHeight="1">
      <c r="A7" s="686" t="s">
        <v>42</v>
      </c>
      <c r="B7" s="686" t="s">
        <v>1</v>
      </c>
      <c r="C7" s="686" t="s">
        <v>1258</v>
      </c>
      <c r="D7" s="686"/>
      <c r="E7" s="686"/>
      <c r="F7" s="687" t="s">
        <v>1994</v>
      </c>
      <c r="G7" s="686" t="s">
        <v>1259</v>
      </c>
      <c r="H7" s="686"/>
      <c r="I7" s="687" t="s">
        <v>1260</v>
      </c>
      <c r="J7" s="686" t="s">
        <v>13</v>
      </c>
    </row>
    <row r="8" spans="1:12" ht="21" customHeight="1">
      <c r="A8" s="686"/>
      <c r="B8" s="686"/>
      <c r="C8" s="686" t="s">
        <v>1261</v>
      </c>
      <c r="D8" s="686" t="s">
        <v>17</v>
      </c>
      <c r="E8" s="686" t="s">
        <v>1262</v>
      </c>
      <c r="F8" s="688"/>
      <c r="G8" s="686" t="s">
        <v>1060</v>
      </c>
      <c r="H8" s="686" t="s">
        <v>1061</v>
      </c>
      <c r="I8" s="688"/>
      <c r="J8" s="686"/>
    </row>
    <row r="9" spans="1:12" ht="39" customHeight="1">
      <c r="A9" s="686"/>
      <c r="B9" s="686"/>
      <c r="C9" s="686"/>
      <c r="D9" s="686"/>
      <c r="E9" s="686"/>
      <c r="F9" s="689"/>
      <c r="G9" s="686"/>
      <c r="H9" s="686"/>
      <c r="I9" s="689"/>
      <c r="J9" s="686"/>
      <c r="K9" s="323">
        <f>H87-9885</f>
        <v>-0.41200000000026193</v>
      </c>
    </row>
    <row r="10" spans="1:12">
      <c r="A10" s="548">
        <v>1</v>
      </c>
      <c r="B10" s="548">
        <v>2</v>
      </c>
      <c r="C10" s="548">
        <v>3</v>
      </c>
      <c r="D10" s="548">
        <v>4</v>
      </c>
      <c r="E10" s="548">
        <v>5</v>
      </c>
      <c r="F10" s="548">
        <v>6</v>
      </c>
      <c r="G10" s="548">
        <v>7</v>
      </c>
      <c r="H10" s="548">
        <v>8</v>
      </c>
      <c r="I10" s="548">
        <v>9</v>
      </c>
      <c r="J10" s="548">
        <v>10</v>
      </c>
      <c r="L10" s="157"/>
    </row>
    <row r="11" spans="1:12" ht="18.75" customHeight="1">
      <c r="A11" s="324"/>
      <c r="B11" s="325" t="s">
        <v>1263</v>
      </c>
      <c r="C11" s="324"/>
      <c r="D11" s="158">
        <f t="shared" ref="D11:I11" si="0">D12+D87+D295</f>
        <v>1586707.1723356009</v>
      </c>
      <c r="E11" s="158">
        <f t="shared" si="0"/>
        <v>1443642.5</v>
      </c>
      <c r="F11" s="158">
        <f t="shared" si="0"/>
        <v>1408428.1996010002</v>
      </c>
      <c r="G11" s="158">
        <f>G12+G87+G295</f>
        <v>36457.770000000004</v>
      </c>
      <c r="H11" s="158">
        <f t="shared" si="0"/>
        <v>36457.588000000003</v>
      </c>
      <c r="I11" s="158">
        <f t="shared" si="0"/>
        <v>1408428.3816010002</v>
      </c>
      <c r="J11" s="324"/>
    </row>
    <row r="12" spans="1:12" ht="42" customHeight="1">
      <c r="A12" s="366" t="s">
        <v>37</v>
      </c>
      <c r="B12" s="367" t="s">
        <v>1264</v>
      </c>
      <c r="C12" s="330"/>
      <c r="D12" s="158">
        <f>D13+D28</f>
        <v>829946</v>
      </c>
      <c r="E12" s="158">
        <f t="shared" ref="E12:I12" si="1">E13+E28</f>
        <v>815446</v>
      </c>
      <c r="F12" s="158">
        <f t="shared" si="1"/>
        <v>794810.9</v>
      </c>
      <c r="G12" s="158">
        <f t="shared" si="1"/>
        <v>18966</v>
      </c>
      <c r="H12" s="162">
        <f t="shared" si="1"/>
        <v>18966</v>
      </c>
      <c r="I12" s="158">
        <f t="shared" si="1"/>
        <v>794810.9</v>
      </c>
      <c r="J12" s="330"/>
      <c r="K12" s="326"/>
      <c r="L12" s="323"/>
    </row>
    <row r="13" spans="1:12" ht="20.25" customHeight="1">
      <c r="A13" s="549" t="s">
        <v>33</v>
      </c>
      <c r="B13" s="550" t="s">
        <v>1265</v>
      </c>
      <c r="C13" s="551"/>
      <c r="D13" s="158">
        <f>D14+D17</f>
        <v>64246</v>
      </c>
      <c r="E13" s="158">
        <f t="shared" ref="E13:I13" si="2">E14+E17</f>
        <v>64246</v>
      </c>
      <c r="F13" s="158">
        <f t="shared" si="2"/>
        <v>64246</v>
      </c>
      <c r="G13" s="158">
        <f t="shared" si="2"/>
        <v>0</v>
      </c>
      <c r="H13" s="158">
        <f t="shared" si="2"/>
        <v>1181</v>
      </c>
      <c r="I13" s="158">
        <f t="shared" si="2"/>
        <v>63065</v>
      </c>
      <c r="J13" s="330"/>
      <c r="K13" s="326"/>
      <c r="L13" s="323"/>
    </row>
    <row r="14" spans="1:12" ht="83.25" customHeight="1">
      <c r="A14" s="549" t="s">
        <v>1266</v>
      </c>
      <c r="B14" s="550" t="s">
        <v>1267</v>
      </c>
      <c r="C14" s="551"/>
      <c r="D14" s="158">
        <f>D15</f>
        <v>30000</v>
      </c>
      <c r="E14" s="158">
        <f t="shared" ref="E14:I15" si="3">E15</f>
        <v>30000</v>
      </c>
      <c r="F14" s="158">
        <f t="shared" si="3"/>
        <v>30000</v>
      </c>
      <c r="G14" s="158">
        <f t="shared" si="3"/>
        <v>0</v>
      </c>
      <c r="H14" s="158">
        <f t="shared" si="3"/>
        <v>252</v>
      </c>
      <c r="I14" s="158">
        <f>I15</f>
        <v>29748</v>
      </c>
      <c r="J14" s="330"/>
      <c r="K14" s="326"/>
      <c r="L14" s="323"/>
    </row>
    <row r="15" spans="1:12" ht="21" customHeight="1">
      <c r="A15" s="552" t="s">
        <v>120</v>
      </c>
      <c r="B15" s="550" t="s">
        <v>634</v>
      </c>
      <c r="C15" s="551"/>
      <c r="D15" s="158">
        <f>D16</f>
        <v>30000</v>
      </c>
      <c r="E15" s="158">
        <f t="shared" si="3"/>
        <v>30000</v>
      </c>
      <c r="F15" s="158">
        <f t="shared" si="3"/>
        <v>30000</v>
      </c>
      <c r="G15" s="158">
        <f t="shared" si="3"/>
        <v>0</v>
      </c>
      <c r="H15" s="158">
        <f t="shared" si="3"/>
        <v>252</v>
      </c>
      <c r="I15" s="158">
        <f t="shared" si="3"/>
        <v>29748</v>
      </c>
      <c r="J15" s="330"/>
      <c r="K15" s="326"/>
      <c r="L15" s="323"/>
    </row>
    <row r="16" spans="1:12" ht="41.65">
      <c r="A16" s="553">
        <v>1</v>
      </c>
      <c r="B16" s="554" t="s">
        <v>1268</v>
      </c>
      <c r="C16" s="333" t="s">
        <v>1269</v>
      </c>
      <c r="D16" s="161">
        <v>30000</v>
      </c>
      <c r="E16" s="161">
        <v>30000</v>
      </c>
      <c r="F16" s="161">
        <v>30000</v>
      </c>
      <c r="G16" s="158"/>
      <c r="H16" s="161">
        <v>252</v>
      </c>
      <c r="I16" s="161">
        <f>F16+G16-H16</f>
        <v>29748</v>
      </c>
      <c r="J16" s="330"/>
      <c r="K16" s="326"/>
      <c r="L16" s="323"/>
    </row>
    <row r="17" spans="1:14" ht="35.25" customHeight="1">
      <c r="A17" s="555" t="s">
        <v>1270</v>
      </c>
      <c r="B17" s="556" t="s">
        <v>1271</v>
      </c>
      <c r="C17" s="551"/>
      <c r="D17" s="158">
        <f>D18+D25</f>
        <v>34246</v>
      </c>
      <c r="E17" s="158">
        <f t="shared" ref="E17:I17" si="4">E18+E25</f>
        <v>34246</v>
      </c>
      <c r="F17" s="158">
        <f t="shared" si="4"/>
        <v>34246</v>
      </c>
      <c r="G17" s="158">
        <f t="shared" si="4"/>
        <v>0</v>
      </c>
      <c r="H17" s="158">
        <f t="shared" si="4"/>
        <v>929</v>
      </c>
      <c r="I17" s="158">
        <f t="shared" si="4"/>
        <v>33317</v>
      </c>
      <c r="J17" s="330"/>
      <c r="K17" s="326"/>
      <c r="L17" s="323"/>
    </row>
    <row r="18" spans="1:14" ht="57" customHeight="1">
      <c r="A18" s="557" t="s">
        <v>1272</v>
      </c>
      <c r="B18" s="558" t="s">
        <v>1273</v>
      </c>
      <c r="C18" s="551"/>
      <c r="D18" s="158">
        <f>D19+D23</f>
        <v>26500</v>
      </c>
      <c r="E18" s="158">
        <f t="shared" ref="E18:I18" si="5">E19+E23</f>
        <v>26500</v>
      </c>
      <c r="F18" s="158">
        <f t="shared" si="5"/>
        <v>26500</v>
      </c>
      <c r="G18" s="158">
        <f t="shared" si="5"/>
        <v>0</v>
      </c>
      <c r="H18" s="158">
        <f t="shared" si="5"/>
        <v>483</v>
      </c>
      <c r="I18" s="158">
        <f t="shared" si="5"/>
        <v>26017</v>
      </c>
      <c r="J18" s="330"/>
      <c r="K18" s="326"/>
      <c r="L18" s="323"/>
    </row>
    <row r="19" spans="1:14" s="336" customFormat="1" ht="23.25" customHeight="1">
      <c r="A19" s="559" t="s">
        <v>120</v>
      </c>
      <c r="B19" s="367" t="s">
        <v>1274</v>
      </c>
      <c r="C19" s="551"/>
      <c r="D19" s="158">
        <f>SUM(D20:D22)</f>
        <v>19500</v>
      </c>
      <c r="E19" s="158">
        <f t="shared" ref="E19:I19" si="6">SUM(E20:E22)</f>
        <v>19500</v>
      </c>
      <c r="F19" s="158">
        <f t="shared" si="6"/>
        <v>19500</v>
      </c>
      <c r="G19" s="158">
        <f t="shared" si="6"/>
        <v>0</v>
      </c>
      <c r="H19" s="158">
        <f t="shared" si="6"/>
        <v>0</v>
      </c>
      <c r="I19" s="158">
        <f t="shared" si="6"/>
        <v>19500</v>
      </c>
      <c r="J19" s="335"/>
      <c r="K19" s="326"/>
      <c r="L19" s="323"/>
    </row>
    <row r="20" spans="1:14" ht="87.75" customHeight="1">
      <c r="A20" s="553">
        <v>1</v>
      </c>
      <c r="B20" s="560" t="s">
        <v>1275</v>
      </c>
      <c r="C20" s="333" t="s">
        <v>1276</v>
      </c>
      <c r="D20" s="161">
        <v>6500</v>
      </c>
      <c r="E20" s="161">
        <v>6500</v>
      </c>
      <c r="F20" s="161">
        <v>6500</v>
      </c>
      <c r="G20" s="161"/>
      <c r="H20" s="161"/>
      <c r="I20" s="161">
        <f t="shared" ref="I20:I27" si="7">F20+G20-H20</f>
        <v>6500</v>
      </c>
      <c r="J20" s="330"/>
      <c r="K20" s="326"/>
      <c r="L20" s="323"/>
    </row>
    <row r="21" spans="1:14" ht="41.25" customHeight="1">
      <c r="A21" s="553">
        <v>2</v>
      </c>
      <c r="B21" s="560" t="s">
        <v>1277</v>
      </c>
      <c r="C21" s="333" t="s">
        <v>1278</v>
      </c>
      <c r="D21" s="161">
        <v>4500</v>
      </c>
      <c r="E21" s="161">
        <v>4500</v>
      </c>
      <c r="F21" s="161">
        <v>4500</v>
      </c>
      <c r="G21" s="161"/>
      <c r="H21" s="161"/>
      <c r="I21" s="161">
        <f t="shared" si="7"/>
        <v>4500</v>
      </c>
      <c r="J21" s="330"/>
      <c r="K21" s="326"/>
      <c r="L21" s="323"/>
    </row>
    <row r="22" spans="1:14" ht="56.25" customHeight="1">
      <c r="A22" s="553">
        <v>3</v>
      </c>
      <c r="B22" s="560" t="s">
        <v>1279</v>
      </c>
      <c r="C22" s="333" t="s">
        <v>1280</v>
      </c>
      <c r="D22" s="161">
        <v>8500</v>
      </c>
      <c r="E22" s="161">
        <v>8500</v>
      </c>
      <c r="F22" s="161">
        <v>8500</v>
      </c>
      <c r="G22" s="158"/>
      <c r="H22" s="161"/>
      <c r="I22" s="161">
        <f t="shared" si="7"/>
        <v>8500</v>
      </c>
      <c r="J22" s="330"/>
      <c r="K22" s="326"/>
      <c r="L22" s="323"/>
    </row>
    <row r="23" spans="1:14" ht="27">
      <c r="A23" s="559" t="s">
        <v>350</v>
      </c>
      <c r="B23" s="367" t="s">
        <v>1281</v>
      </c>
      <c r="C23" s="337"/>
      <c r="D23" s="158">
        <f>D24</f>
        <v>7000</v>
      </c>
      <c r="E23" s="158">
        <f t="shared" ref="E23:I23" si="8">E24</f>
        <v>7000</v>
      </c>
      <c r="F23" s="158">
        <f t="shared" si="8"/>
        <v>7000</v>
      </c>
      <c r="G23" s="158">
        <f t="shared" si="8"/>
        <v>0</v>
      </c>
      <c r="H23" s="158">
        <f t="shared" si="8"/>
        <v>483</v>
      </c>
      <c r="I23" s="158">
        <f t="shared" si="8"/>
        <v>6517</v>
      </c>
      <c r="J23" s="330"/>
      <c r="K23" s="326"/>
      <c r="L23" s="323"/>
    </row>
    <row r="24" spans="1:14" ht="76.5" customHeight="1">
      <c r="A24" s="375">
        <v>1</v>
      </c>
      <c r="B24" s="560" t="s">
        <v>1282</v>
      </c>
      <c r="C24" s="333" t="s">
        <v>1283</v>
      </c>
      <c r="D24" s="161">
        <v>7000</v>
      </c>
      <c r="E24" s="161">
        <v>7000</v>
      </c>
      <c r="F24" s="161">
        <v>7000</v>
      </c>
      <c r="G24" s="161"/>
      <c r="H24" s="161">
        <v>483</v>
      </c>
      <c r="I24" s="161">
        <f t="shared" si="7"/>
        <v>6517</v>
      </c>
      <c r="J24" s="330"/>
      <c r="K24" s="326"/>
      <c r="L24" s="323"/>
    </row>
    <row r="25" spans="1:14" s="336" customFormat="1" ht="39.950000000000003" customHeight="1">
      <c r="A25" s="325" t="s">
        <v>1284</v>
      </c>
      <c r="B25" s="367" t="s">
        <v>1285</v>
      </c>
      <c r="C25" s="337"/>
      <c r="D25" s="158">
        <f>D26</f>
        <v>7746</v>
      </c>
      <c r="E25" s="158">
        <f t="shared" ref="E25:I26" si="9">E26</f>
        <v>7746</v>
      </c>
      <c r="F25" s="158">
        <f t="shared" si="9"/>
        <v>7746</v>
      </c>
      <c r="G25" s="158">
        <f t="shared" si="9"/>
        <v>0</v>
      </c>
      <c r="H25" s="158">
        <f t="shared" si="9"/>
        <v>446</v>
      </c>
      <c r="I25" s="158">
        <f t="shared" si="9"/>
        <v>7300</v>
      </c>
      <c r="J25" s="335"/>
      <c r="K25" s="326"/>
      <c r="L25" s="323"/>
    </row>
    <row r="26" spans="1:14" s="336" customFormat="1" ht="39.950000000000003" customHeight="1">
      <c r="A26" s="325" t="s">
        <v>120</v>
      </c>
      <c r="B26" s="367" t="s">
        <v>1286</v>
      </c>
      <c r="C26" s="337"/>
      <c r="D26" s="158">
        <f>D27</f>
        <v>7746</v>
      </c>
      <c r="E26" s="158">
        <f t="shared" si="9"/>
        <v>7746</v>
      </c>
      <c r="F26" s="158">
        <f t="shared" si="9"/>
        <v>7746</v>
      </c>
      <c r="G26" s="158">
        <f t="shared" si="9"/>
        <v>0</v>
      </c>
      <c r="H26" s="158">
        <f t="shared" si="9"/>
        <v>446</v>
      </c>
      <c r="I26" s="158">
        <f t="shared" si="9"/>
        <v>7300</v>
      </c>
      <c r="J26" s="335"/>
      <c r="K26" s="326"/>
      <c r="L26" s="323"/>
    </row>
    <row r="27" spans="1:14" ht="84.75" customHeight="1">
      <c r="A27" s="375">
        <v>1</v>
      </c>
      <c r="B27" s="560" t="s">
        <v>1287</v>
      </c>
      <c r="C27" s="333" t="s">
        <v>1288</v>
      </c>
      <c r="D27" s="161">
        <v>7746</v>
      </c>
      <c r="E27" s="161">
        <v>7746</v>
      </c>
      <c r="F27" s="161">
        <v>7746</v>
      </c>
      <c r="G27" s="161"/>
      <c r="H27" s="161">
        <v>446</v>
      </c>
      <c r="I27" s="161">
        <f t="shared" si="7"/>
        <v>7300</v>
      </c>
      <c r="J27" s="330"/>
      <c r="K27" s="326"/>
      <c r="L27" s="323"/>
    </row>
    <row r="28" spans="1:14" ht="69.75" customHeight="1">
      <c r="A28" s="561" t="s">
        <v>34</v>
      </c>
      <c r="B28" s="562" t="s">
        <v>1289</v>
      </c>
      <c r="C28" s="337"/>
      <c r="D28" s="158">
        <f t="shared" ref="D28:I28" si="10">SUM(D29,D32,D53,D59,D72,D76,D80)</f>
        <v>765700</v>
      </c>
      <c r="E28" s="158">
        <f t="shared" si="10"/>
        <v>751200</v>
      </c>
      <c r="F28" s="158">
        <f t="shared" si="10"/>
        <v>730564.9</v>
      </c>
      <c r="G28" s="158">
        <f t="shared" si="10"/>
        <v>18966</v>
      </c>
      <c r="H28" s="158">
        <f t="shared" si="10"/>
        <v>17785</v>
      </c>
      <c r="I28" s="158">
        <f t="shared" si="10"/>
        <v>731745.9</v>
      </c>
      <c r="J28" s="330"/>
      <c r="K28" s="326"/>
      <c r="L28" s="323"/>
    </row>
    <row r="29" spans="1:14" ht="23.25" customHeight="1">
      <c r="A29" s="559" t="s">
        <v>120</v>
      </c>
      <c r="B29" s="367" t="s">
        <v>1290</v>
      </c>
      <c r="C29" s="337"/>
      <c r="D29" s="158">
        <f>SUM(D30:D31)</f>
        <v>76000</v>
      </c>
      <c r="E29" s="158">
        <f t="shared" ref="E29:I29" si="11">SUM(E30:E31)</f>
        <v>76000</v>
      </c>
      <c r="F29" s="158">
        <f t="shared" si="11"/>
        <v>74150</v>
      </c>
      <c r="G29" s="158">
        <f t="shared" si="11"/>
        <v>0</v>
      </c>
      <c r="H29" s="158">
        <f t="shared" si="11"/>
        <v>4470</v>
      </c>
      <c r="I29" s="158">
        <f t="shared" si="11"/>
        <v>69680</v>
      </c>
      <c r="J29" s="330"/>
      <c r="K29" s="326"/>
      <c r="L29" s="323"/>
    </row>
    <row r="30" spans="1:14" ht="51.75" customHeight="1">
      <c r="A30" s="563">
        <v>1</v>
      </c>
      <c r="B30" s="564" t="s">
        <v>1291</v>
      </c>
      <c r="C30" s="333" t="s">
        <v>1292</v>
      </c>
      <c r="D30" s="161">
        <v>26000</v>
      </c>
      <c r="E30" s="161">
        <v>26000</v>
      </c>
      <c r="F30" s="161">
        <v>26000</v>
      </c>
      <c r="G30" s="161"/>
      <c r="H30" s="161">
        <v>3470</v>
      </c>
      <c r="I30" s="161">
        <f t="shared" ref="I30:I86" si="12">F30+G30-H30</f>
        <v>22530</v>
      </c>
      <c r="J30" s="330"/>
      <c r="K30" s="326"/>
      <c r="L30" s="323"/>
    </row>
    <row r="31" spans="1:14" ht="48.75" customHeight="1">
      <c r="A31" s="563">
        <v>2</v>
      </c>
      <c r="B31" s="564" t="s">
        <v>1293</v>
      </c>
      <c r="C31" s="333" t="s">
        <v>1294</v>
      </c>
      <c r="D31" s="161">
        <v>50000</v>
      </c>
      <c r="E31" s="161">
        <v>50000</v>
      </c>
      <c r="F31" s="161">
        <v>48150</v>
      </c>
      <c r="G31" s="158"/>
      <c r="H31" s="161">
        <v>1000</v>
      </c>
      <c r="I31" s="161">
        <f t="shared" si="12"/>
        <v>47150</v>
      </c>
      <c r="J31" s="330"/>
      <c r="K31" s="326"/>
      <c r="L31" s="323"/>
      <c r="N31" s="338"/>
    </row>
    <row r="32" spans="1:14" ht="25.15" customHeight="1">
      <c r="A32" s="559" t="s">
        <v>122</v>
      </c>
      <c r="B32" s="367" t="s">
        <v>1295</v>
      </c>
      <c r="C32" s="337"/>
      <c r="D32" s="158">
        <f t="shared" ref="D32:H32" si="13">SUM(D33:D52)</f>
        <v>207810</v>
      </c>
      <c r="E32" s="158">
        <f t="shared" si="13"/>
        <v>193310</v>
      </c>
      <c r="F32" s="158">
        <f t="shared" si="13"/>
        <v>193310</v>
      </c>
      <c r="G32" s="158">
        <f t="shared" si="13"/>
        <v>2966</v>
      </c>
      <c r="H32" s="162">
        <f t="shared" si="13"/>
        <v>2913</v>
      </c>
      <c r="I32" s="158">
        <f>SUM(I33:I52)</f>
        <v>193363</v>
      </c>
      <c r="J32" s="330"/>
      <c r="K32" s="326">
        <v>2913</v>
      </c>
      <c r="L32" s="323"/>
    </row>
    <row r="33" spans="1:12" ht="41.65">
      <c r="A33" s="553">
        <v>1</v>
      </c>
      <c r="B33" s="554" t="s">
        <v>1296</v>
      </c>
      <c r="C33" s="333" t="s">
        <v>1297</v>
      </c>
      <c r="D33" s="161">
        <v>34000</v>
      </c>
      <c r="E33" s="161">
        <v>34000</v>
      </c>
      <c r="F33" s="161">
        <v>34000</v>
      </c>
      <c r="G33" s="161"/>
      <c r="H33" s="161">
        <v>1185</v>
      </c>
      <c r="I33" s="161">
        <f t="shared" si="12"/>
        <v>32815</v>
      </c>
      <c r="J33" s="330"/>
      <c r="K33" s="326"/>
      <c r="L33" s="323"/>
    </row>
    <row r="34" spans="1:12" ht="68.25" customHeight="1">
      <c r="A34" s="548">
        <v>2</v>
      </c>
      <c r="B34" s="554" t="s">
        <v>1298</v>
      </c>
      <c r="C34" s="333" t="s">
        <v>1299</v>
      </c>
      <c r="D34" s="161">
        <v>40000</v>
      </c>
      <c r="E34" s="161">
        <v>40000</v>
      </c>
      <c r="F34" s="161">
        <v>40000</v>
      </c>
      <c r="G34" s="161"/>
      <c r="H34" s="161">
        <v>406</v>
      </c>
      <c r="I34" s="161">
        <f t="shared" si="12"/>
        <v>39594</v>
      </c>
      <c r="J34" s="330"/>
      <c r="K34" s="326"/>
      <c r="L34" s="323"/>
    </row>
    <row r="35" spans="1:12" ht="70.5" customHeight="1">
      <c r="A35" s="553">
        <v>3</v>
      </c>
      <c r="B35" s="554" t="s">
        <v>1300</v>
      </c>
      <c r="C35" s="565" t="s">
        <v>1301</v>
      </c>
      <c r="D35" s="161">
        <v>13410</v>
      </c>
      <c r="E35" s="161">
        <v>13410</v>
      </c>
      <c r="F35" s="161">
        <v>13410</v>
      </c>
      <c r="G35" s="161"/>
      <c r="H35" s="161">
        <v>140</v>
      </c>
      <c r="I35" s="161">
        <f t="shared" si="12"/>
        <v>13270</v>
      </c>
      <c r="J35" s="330"/>
      <c r="K35" s="326"/>
      <c r="L35" s="323"/>
    </row>
    <row r="36" spans="1:12" ht="60.75" customHeight="1">
      <c r="A36" s="553">
        <v>4</v>
      </c>
      <c r="B36" s="554" t="s">
        <v>1302</v>
      </c>
      <c r="C36" s="333" t="s">
        <v>1303</v>
      </c>
      <c r="D36" s="161">
        <v>5000</v>
      </c>
      <c r="E36" s="161">
        <v>5000</v>
      </c>
      <c r="F36" s="161">
        <v>5000</v>
      </c>
      <c r="G36" s="161"/>
      <c r="H36" s="161">
        <v>280</v>
      </c>
      <c r="I36" s="161">
        <f t="shared" si="12"/>
        <v>4720</v>
      </c>
      <c r="J36" s="330"/>
      <c r="K36" s="326"/>
      <c r="L36" s="323"/>
    </row>
    <row r="37" spans="1:12" ht="41.65">
      <c r="A37" s="548">
        <v>5</v>
      </c>
      <c r="B37" s="566" t="s">
        <v>1304</v>
      </c>
      <c r="C37" s="333" t="s">
        <v>1305</v>
      </c>
      <c r="D37" s="161">
        <v>3500</v>
      </c>
      <c r="E37" s="161">
        <v>3500</v>
      </c>
      <c r="F37" s="161">
        <v>3500</v>
      </c>
      <c r="G37" s="161"/>
      <c r="H37" s="161">
        <v>2</v>
      </c>
      <c r="I37" s="161">
        <f t="shared" si="12"/>
        <v>3498</v>
      </c>
      <c r="J37" s="330"/>
      <c r="K37" s="326"/>
      <c r="L37" s="323"/>
    </row>
    <row r="38" spans="1:12" ht="41.65">
      <c r="A38" s="553">
        <v>6</v>
      </c>
      <c r="B38" s="566" t="s">
        <v>1306</v>
      </c>
      <c r="C38" s="333" t="s">
        <v>1307</v>
      </c>
      <c r="D38" s="161">
        <v>3400</v>
      </c>
      <c r="E38" s="161">
        <v>3400</v>
      </c>
      <c r="F38" s="161">
        <v>3400</v>
      </c>
      <c r="G38" s="161"/>
      <c r="H38" s="161">
        <v>80</v>
      </c>
      <c r="I38" s="161">
        <f t="shared" si="12"/>
        <v>3320</v>
      </c>
      <c r="J38" s="330"/>
      <c r="K38" s="326"/>
      <c r="L38" s="323"/>
    </row>
    <row r="39" spans="1:12" ht="58.35" customHeight="1">
      <c r="A39" s="553">
        <v>7</v>
      </c>
      <c r="B39" s="566" t="s">
        <v>1308</v>
      </c>
      <c r="C39" s="333" t="s">
        <v>1309</v>
      </c>
      <c r="D39" s="161">
        <v>3500</v>
      </c>
      <c r="E39" s="161">
        <v>3500</v>
      </c>
      <c r="F39" s="161">
        <v>3500</v>
      </c>
      <c r="G39" s="161"/>
      <c r="H39" s="161">
        <v>52</v>
      </c>
      <c r="I39" s="161">
        <f t="shared" si="12"/>
        <v>3448</v>
      </c>
      <c r="J39" s="330"/>
      <c r="K39" s="326"/>
      <c r="L39" s="323"/>
    </row>
    <row r="40" spans="1:12" ht="58.35" customHeight="1">
      <c r="A40" s="548">
        <v>8</v>
      </c>
      <c r="B40" s="566" t="s">
        <v>1310</v>
      </c>
      <c r="C40" s="333" t="s">
        <v>1311</v>
      </c>
      <c r="D40" s="161">
        <v>3500</v>
      </c>
      <c r="E40" s="161">
        <v>3500</v>
      </c>
      <c r="F40" s="161">
        <v>3500</v>
      </c>
      <c r="G40" s="161"/>
      <c r="H40" s="161">
        <v>39</v>
      </c>
      <c r="I40" s="161">
        <f t="shared" si="12"/>
        <v>3461</v>
      </c>
      <c r="J40" s="330"/>
      <c r="K40" s="326"/>
      <c r="L40" s="323"/>
    </row>
    <row r="41" spans="1:12" ht="60.75" customHeight="1">
      <c r="A41" s="553">
        <v>9</v>
      </c>
      <c r="B41" s="566" t="s">
        <v>1312</v>
      </c>
      <c r="C41" s="333" t="s">
        <v>1313</v>
      </c>
      <c r="D41" s="161">
        <v>5000</v>
      </c>
      <c r="E41" s="161">
        <v>5000</v>
      </c>
      <c r="F41" s="161">
        <v>5000</v>
      </c>
      <c r="G41" s="161"/>
      <c r="H41" s="161">
        <v>51</v>
      </c>
      <c r="I41" s="161">
        <f t="shared" si="12"/>
        <v>4949</v>
      </c>
      <c r="J41" s="330"/>
      <c r="K41" s="326"/>
      <c r="L41" s="323"/>
    </row>
    <row r="42" spans="1:12" ht="68.25" customHeight="1">
      <c r="A42" s="553">
        <v>10</v>
      </c>
      <c r="B42" s="566" t="s">
        <v>1314</v>
      </c>
      <c r="C42" s="333" t="s">
        <v>1315</v>
      </c>
      <c r="D42" s="161">
        <v>14500</v>
      </c>
      <c r="E42" s="161">
        <v>14500</v>
      </c>
      <c r="F42" s="161">
        <v>14500</v>
      </c>
      <c r="G42" s="161"/>
      <c r="H42" s="161">
        <v>35</v>
      </c>
      <c r="I42" s="161">
        <f t="shared" si="12"/>
        <v>14465</v>
      </c>
      <c r="J42" s="330"/>
      <c r="K42" s="326"/>
      <c r="L42" s="323"/>
    </row>
    <row r="43" spans="1:12" ht="41.65">
      <c r="A43" s="548">
        <v>11</v>
      </c>
      <c r="B43" s="554" t="s">
        <v>1316</v>
      </c>
      <c r="C43" s="333" t="s">
        <v>1317</v>
      </c>
      <c r="D43" s="161">
        <v>7500</v>
      </c>
      <c r="E43" s="161">
        <v>7500</v>
      </c>
      <c r="F43" s="161">
        <v>7500</v>
      </c>
      <c r="G43" s="161"/>
      <c r="H43" s="161">
        <v>24</v>
      </c>
      <c r="I43" s="161">
        <f t="shared" si="12"/>
        <v>7476</v>
      </c>
      <c r="J43" s="330"/>
      <c r="K43" s="326"/>
      <c r="L43" s="323"/>
    </row>
    <row r="44" spans="1:12" ht="63.75" customHeight="1">
      <c r="A44" s="553">
        <v>12</v>
      </c>
      <c r="B44" s="554" t="s">
        <v>1318</v>
      </c>
      <c r="C44" s="333" t="s">
        <v>1319</v>
      </c>
      <c r="D44" s="161">
        <v>14000</v>
      </c>
      <c r="E44" s="161">
        <v>14000</v>
      </c>
      <c r="F44" s="161">
        <v>14000</v>
      </c>
      <c r="G44" s="161"/>
      <c r="H44" s="161">
        <v>166</v>
      </c>
      <c r="I44" s="161">
        <f t="shared" si="12"/>
        <v>13834</v>
      </c>
      <c r="J44" s="330"/>
      <c r="K44" s="326"/>
      <c r="L44" s="323"/>
    </row>
    <row r="45" spans="1:12" ht="85.5" customHeight="1">
      <c r="A45" s="553">
        <v>13</v>
      </c>
      <c r="B45" s="554" t="s">
        <v>1320</v>
      </c>
      <c r="C45" s="333" t="s">
        <v>1321</v>
      </c>
      <c r="D45" s="161">
        <v>6000</v>
      </c>
      <c r="E45" s="161">
        <v>6000</v>
      </c>
      <c r="F45" s="161">
        <v>6000</v>
      </c>
      <c r="G45" s="161"/>
      <c r="H45" s="161">
        <v>53</v>
      </c>
      <c r="I45" s="161">
        <f t="shared" si="12"/>
        <v>5947</v>
      </c>
      <c r="J45" s="330"/>
      <c r="K45" s="326"/>
      <c r="L45" s="323"/>
    </row>
    <row r="46" spans="1:12" ht="49.5" customHeight="1">
      <c r="A46" s="548">
        <v>14</v>
      </c>
      <c r="B46" s="554" t="s">
        <v>1322</v>
      </c>
      <c r="C46" s="333" t="s">
        <v>1323</v>
      </c>
      <c r="D46" s="161">
        <v>12500</v>
      </c>
      <c r="E46" s="161">
        <v>12500</v>
      </c>
      <c r="F46" s="161">
        <v>12500</v>
      </c>
      <c r="G46" s="161"/>
      <c r="H46" s="161">
        <v>35</v>
      </c>
      <c r="I46" s="161">
        <f t="shared" si="12"/>
        <v>12465</v>
      </c>
      <c r="J46" s="330"/>
      <c r="K46" s="326"/>
      <c r="L46" s="323"/>
    </row>
    <row r="47" spans="1:12" ht="67.5" customHeight="1">
      <c r="A47" s="553">
        <v>15</v>
      </c>
      <c r="B47" s="560" t="s">
        <v>1324</v>
      </c>
      <c r="C47" s="333" t="s">
        <v>1325</v>
      </c>
      <c r="D47" s="161">
        <v>7500</v>
      </c>
      <c r="E47" s="161">
        <v>7500</v>
      </c>
      <c r="F47" s="161">
        <v>7500</v>
      </c>
      <c r="G47" s="161"/>
      <c r="H47" s="161">
        <v>147</v>
      </c>
      <c r="I47" s="161">
        <f t="shared" si="12"/>
        <v>7353</v>
      </c>
      <c r="J47" s="330"/>
      <c r="K47" s="326"/>
      <c r="L47" s="323"/>
    </row>
    <row r="48" spans="1:12" ht="63" customHeight="1">
      <c r="A48" s="553">
        <v>16</v>
      </c>
      <c r="B48" s="554" t="s">
        <v>1326</v>
      </c>
      <c r="C48" s="333" t="s">
        <v>1327</v>
      </c>
      <c r="D48" s="161">
        <v>6000</v>
      </c>
      <c r="E48" s="161">
        <v>6000</v>
      </c>
      <c r="F48" s="161">
        <v>6000</v>
      </c>
      <c r="G48" s="161"/>
      <c r="H48" s="161">
        <v>39</v>
      </c>
      <c r="I48" s="161">
        <f t="shared" si="12"/>
        <v>5961</v>
      </c>
      <c r="J48" s="330"/>
      <c r="K48" s="326"/>
      <c r="L48" s="323"/>
    </row>
    <row r="49" spans="1:12" ht="66.75" customHeight="1">
      <c r="A49" s="548">
        <v>17</v>
      </c>
      <c r="B49" s="554" t="s">
        <v>1328</v>
      </c>
      <c r="C49" s="333" t="s">
        <v>1329</v>
      </c>
      <c r="D49" s="161">
        <v>5000</v>
      </c>
      <c r="E49" s="161">
        <v>5000</v>
      </c>
      <c r="F49" s="161">
        <v>5000</v>
      </c>
      <c r="G49" s="161"/>
      <c r="H49" s="161">
        <v>78</v>
      </c>
      <c r="I49" s="161">
        <f t="shared" si="12"/>
        <v>4922</v>
      </c>
      <c r="J49" s="330"/>
      <c r="K49" s="326"/>
      <c r="L49" s="323"/>
    </row>
    <row r="50" spans="1:12" ht="51.75" customHeight="1">
      <c r="A50" s="553">
        <v>18</v>
      </c>
      <c r="B50" s="566" t="s">
        <v>1330</v>
      </c>
      <c r="C50" s="333" t="s">
        <v>1331</v>
      </c>
      <c r="D50" s="161">
        <v>4500</v>
      </c>
      <c r="E50" s="161">
        <v>4500</v>
      </c>
      <c r="F50" s="161">
        <v>4500</v>
      </c>
      <c r="G50" s="161"/>
      <c r="H50" s="161">
        <v>98</v>
      </c>
      <c r="I50" s="161">
        <f t="shared" si="12"/>
        <v>4402</v>
      </c>
      <c r="J50" s="330"/>
      <c r="K50" s="326"/>
      <c r="L50" s="323"/>
    </row>
    <row r="51" spans="1:12" ht="54" customHeight="1">
      <c r="A51" s="553">
        <v>19</v>
      </c>
      <c r="B51" s="554" t="s">
        <v>1332</v>
      </c>
      <c r="C51" s="333" t="s">
        <v>1333</v>
      </c>
      <c r="D51" s="161">
        <v>4500</v>
      </c>
      <c r="E51" s="161">
        <v>4500</v>
      </c>
      <c r="F51" s="161">
        <v>4500</v>
      </c>
      <c r="G51" s="161"/>
      <c r="H51" s="161">
        <v>3</v>
      </c>
      <c r="I51" s="161">
        <f t="shared" si="12"/>
        <v>4497</v>
      </c>
      <c r="J51" s="330"/>
      <c r="K51" s="326"/>
      <c r="L51" s="323"/>
    </row>
    <row r="52" spans="1:12" ht="54" customHeight="1">
      <c r="A52" s="553">
        <v>20</v>
      </c>
      <c r="B52" s="554" t="s">
        <v>624</v>
      </c>
      <c r="C52" s="548" t="s">
        <v>1043</v>
      </c>
      <c r="D52" s="567">
        <v>14500</v>
      </c>
      <c r="E52" s="567">
        <v>0</v>
      </c>
      <c r="F52" s="567"/>
      <c r="G52" s="161">
        <v>2966</v>
      </c>
      <c r="H52" s="161"/>
      <c r="I52" s="161">
        <v>2966</v>
      </c>
      <c r="J52" s="554" t="s">
        <v>1979</v>
      </c>
      <c r="K52" s="326"/>
      <c r="L52" s="323"/>
    </row>
    <row r="53" spans="1:12" ht="21.75" customHeight="1">
      <c r="A53" s="559" t="s">
        <v>350</v>
      </c>
      <c r="B53" s="367" t="s">
        <v>1334</v>
      </c>
      <c r="C53" s="337"/>
      <c r="D53" s="158">
        <f>SUM(D54:D58)</f>
        <v>98763</v>
      </c>
      <c r="E53" s="158">
        <f t="shared" ref="E53:I53" si="14">SUM(E54:E58)</f>
        <v>98763</v>
      </c>
      <c r="F53" s="158">
        <f t="shared" si="14"/>
        <v>98763</v>
      </c>
      <c r="G53" s="158">
        <f t="shared" si="14"/>
        <v>0</v>
      </c>
      <c r="H53" s="158">
        <f t="shared" si="14"/>
        <v>4215</v>
      </c>
      <c r="I53" s="158">
        <f t="shared" si="14"/>
        <v>94548</v>
      </c>
      <c r="J53" s="330"/>
      <c r="K53" s="326"/>
      <c r="L53" s="323"/>
    </row>
    <row r="54" spans="1:12" ht="57" customHeight="1">
      <c r="A54" s="375">
        <v>1</v>
      </c>
      <c r="B54" s="554" t="s">
        <v>1335</v>
      </c>
      <c r="C54" s="333" t="s">
        <v>1336</v>
      </c>
      <c r="D54" s="161">
        <v>20000</v>
      </c>
      <c r="E54" s="161">
        <v>20000</v>
      </c>
      <c r="F54" s="161">
        <v>20000</v>
      </c>
      <c r="G54" s="161">
        <v>0</v>
      </c>
      <c r="H54" s="161">
        <v>387</v>
      </c>
      <c r="I54" s="161">
        <f t="shared" si="12"/>
        <v>19613</v>
      </c>
      <c r="J54" s="330"/>
      <c r="K54" s="326"/>
      <c r="L54" s="323"/>
    </row>
    <row r="55" spans="1:12" ht="57" customHeight="1">
      <c r="A55" s="548">
        <v>2</v>
      </c>
      <c r="B55" s="554" t="s">
        <v>1337</v>
      </c>
      <c r="C55" s="333" t="s">
        <v>1338</v>
      </c>
      <c r="D55" s="161">
        <v>30000</v>
      </c>
      <c r="E55" s="161">
        <v>30000</v>
      </c>
      <c r="F55" s="161">
        <v>30000</v>
      </c>
      <c r="G55" s="161">
        <v>0</v>
      </c>
      <c r="H55" s="161">
        <v>786</v>
      </c>
      <c r="I55" s="161">
        <f t="shared" si="12"/>
        <v>29214</v>
      </c>
      <c r="J55" s="330"/>
      <c r="K55" s="326"/>
      <c r="L55" s="323"/>
    </row>
    <row r="56" spans="1:12" ht="53.25" customHeight="1">
      <c r="A56" s="548">
        <v>3</v>
      </c>
      <c r="B56" s="568" t="s">
        <v>1339</v>
      </c>
      <c r="C56" s="333" t="s">
        <v>1340</v>
      </c>
      <c r="D56" s="161">
        <v>35000</v>
      </c>
      <c r="E56" s="161">
        <v>35000</v>
      </c>
      <c r="F56" s="161">
        <v>35000</v>
      </c>
      <c r="G56" s="161">
        <v>0</v>
      </c>
      <c r="H56" s="161">
        <v>2359</v>
      </c>
      <c r="I56" s="161">
        <f t="shared" si="12"/>
        <v>32641</v>
      </c>
      <c r="J56" s="330"/>
      <c r="K56" s="326"/>
      <c r="L56" s="323"/>
    </row>
    <row r="57" spans="1:12" ht="57" customHeight="1">
      <c r="A57" s="375">
        <v>4</v>
      </c>
      <c r="B57" s="554" t="s">
        <v>1341</v>
      </c>
      <c r="C57" s="333" t="s">
        <v>1342</v>
      </c>
      <c r="D57" s="161">
        <v>6000</v>
      </c>
      <c r="E57" s="161">
        <v>6000</v>
      </c>
      <c r="F57" s="161">
        <v>6000</v>
      </c>
      <c r="G57" s="161"/>
      <c r="H57" s="161">
        <v>212</v>
      </c>
      <c r="I57" s="161">
        <f t="shared" si="12"/>
        <v>5788</v>
      </c>
      <c r="J57" s="330"/>
      <c r="K57" s="326"/>
      <c r="L57" s="323"/>
    </row>
    <row r="58" spans="1:12" ht="73.5" customHeight="1">
      <c r="A58" s="548">
        <v>5</v>
      </c>
      <c r="B58" s="554" t="s">
        <v>1343</v>
      </c>
      <c r="C58" s="333" t="s">
        <v>1344</v>
      </c>
      <c r="D58" s="161">
        <v>7763</v>
      </c>
      <c r="E58" s="161">
        <v>7763</v>
      </c>
      <c r="F58" s="161">
        <v>7763</v>
      </c>
      <c r="G58" s="161"/>
      <c r="H58" s="161">
        <v>471</v>
      </c>
      <c r="I58" s="161">
        <f t="shared" si="12"/>
        <v>7292</v>
      </c>
      <c r="J58" s="330"/>
      <c r="K58" s="326"/>
      <c r="L58" s="323"/>
    </row>
    <row r="59" spans="1:12" ht="24.4" customHeight="1">
      <c r="A59" s="559" t="s">
        <v>471</v>
      </c>
      <c r="B59" s="367" t="s">
        <v>1345</v>
      </c>
      <c r="C59" s="337"/>
      <c r="D59" s="158">
        <f>SUM(D60:D71)</f>
        <v>157500</v>
      </c>
      <c r="E59" s="158">
        <f t="shared" ref="E59:I59" si="15">SUM(E60:E71)</f>
        <v>157500</v>
      </c>
      <c r="F59" s="158">
        <f t="shared" si="15"/>
        <v>155354.9</v>
      </c>
      <c r="G59" s="158">
        <f t="shared" si="15"/>
        <v>0</v>
      </c>
      <c r="H59" s="158">
        <f t="shared" si="15"/>
        <v>2399</v>
      </c>
      <c r="I59" s="158">
        <f t="shared" si="15"/>
        <v>152955.9</v>
      </c>
      <c r="J59" s="330"/>
      <c r="K59" s="326"/>
      <c r="L59" s="323"/>
    </row>
    <row r="60" spans="1:12" ht="87" customHeight="1">
      <c r="A60" s="569">
        <v>1</v>
      </c>
      <c r="B60" s="376" t="s">
        <v>1346</v>
      </c>
      <c r="C60" s="333" t="s">
        <v>1347</v>
      </c>
      <c r="D60" s="161">
        <v>25000</v>
      </c>
      <c r="E60" s="161">
        <v>25000</v>
      </c>
      <c r="F60" s="161">
        <v>25000</v>
      </c>
      <c r="G60" s="161"/>
      <c r="H60" s="161">
        <v>1037</v>
      </c>
      <c r="I60" s="161">
        <f t="shared" si="12"/>
        <v>23963</v>
      </c>
      <c r="J60" s="330"/>
      <c r="K60" s="326"/>
      <c r="L60" s="323"/>
    </row>
    <row r="61" spans="1:12" ht="93.75" customHeight="1">
      <c r="A61" s="569">
        <v>2</v>
      </c>
      <c r="B61" s="376" t="s">
        <v>1348</v>
      </c>
      <c r="C61" s="333" t="s">
        <v>1349</v>
      </c>
      <c r="D61" s="161">
        <v>20000</v>
      </c>
      <c r="E61" s="161">
        <v>20000</v>
      </c>
      <c r="F61" s="161">
        <v>18901</v>
      </c>
      <c r="G61" s="161"/>
      <c r="H61" s="161"/>
      <c r="I61" s="161">
        <f t="shared" si="12"/>
        <v>18901</v>
      </c>
      <c r="J61" s="330"/>
      <c r="K61" s="326"/>
      <c r="L61" s="323"/>
    </row>
    <row r="62" spans="1:12" ht="60" customHeight="1">
      <c r="A62" s="569">
        <v>3</v>
      </c>
      <c r="B62" s="554" t="s">
        <v>1350</v>
      </c>
      <c r="C62" s="333" t="s">
        <v>1351</v>
      </c>
      <c r="D62" s="161">
        <v>20000</v>
      </c>
      <c r="E62" s="161">
        <v>20000</v>
      </c>
      <c r="F62" s="161">
        <v>19758</v>
      </c>
      <c r="G62" s="161"/>
      <c r="H62" s="161"/>
      <c r="I62" s="161">
        <f t="shared" si="12"/>
        <v>19758</v>
      </c>
      <c r="J62" s="330"/>
      <c r="K62" s="326"/>
      <c r="L62" s="323"/>
    </row>
    <row r="63" spans="1:12" ht="75.75" customHeight="1">
      <c r="A63" s="569">
        <v>4</v>
      </c>
      <c r="B63" s="554" t="s">
        <v>1352</v>
      </c>
      <c r="C63" s="333" t="s">
        <v>1353</v>
      </c>
      <c r="D63" s="161">
        <v>10000</v>
      </c>
      <c r="E63" s="161">
        <v>10000</v>
      </c>
      <c r="F63" s="161">
        <v>10000</v>
      </c>
      <c r="G63" s="161"/>
      <c r="H63" s="161">
        <v>287</v>
      </c>
      <c r="I63" s="161">
        <f t="shared" si="12"/>
        <v>9713</v>
      </c>
      <c r="J63" s="330"/>
      <c r="K63" s="326"/>
      <c r="L63" s="323"/>
    </row>
    <row r="64" spans="1:12" ht="93.75" customHeight="1">
      <c r="A64" s="569">
        <v>5</v>
      </c>
      <c r="B64" s="570" t="s">
        <v>1354</v>
      </c>
      <c r="C64" s="333" t="s">
        <v>1355</v>
      </c>
      <c r="D64" s="161">
        <v>12000</v>
      </c>
      <c r="E64" s="161">
        <v>12000</v>
      </c>
      <c r="F64" s="161">
        <v>12000</v>
      </c>
      <c r="G64" s="161"/>
      <c r="H64" s="161">
        <v>598</v>
      </c>
      <c r="I64" s="161">
        <f t="shared" si="12"/>
        <v>11402</v>
      </c>
      <c r="J64" s="330"/>
      <c r="K64" s="326"/>
      <c r="L64" s="323"/>
    </row>
    <row r="65" spans="1:12" ht="45.75" customHeight="1">
      <c r="A65" s="569">
        <v>6</v>
      </c>
      <c r="B65" s="571" t="s">
        <v>1356</v>
      </c>
      <c r="C65" s="333" t="s">
        <v>1357</v>
      </c>
      <c r="D65" s="161">
        <v>9000</v>
      </c>
      <c r="E65" s="161">
        <v>9000</v>
      </c>
      <c r="F65" s="161">
        <v>8887</v>
      </c>
      <c r="G65" s="161"/>
      <c r="H65" s="161"/>
      <c r="I65" s="161">
        <f t="shared" si="12"/>
        <v>8887</v>
      </c>
      <c r="J65" s="330"/>
      <c r="K65" s="326"/>
      <c r="L65" s="323"/>
    </row>
    <row r="66" spans="1:12" ht="54" customHeight="1">
      <c r="A66" s="569">
        <v>7</v>
      </c>
      <c r="B66" s="571" t="s">
        <v>1358</v>
      </c>
      <c r="C66" s="333" t="s">
        <v>1359</v>
      </c>
      <c r="D66" s="161">
        <v>14500</v>
      </c>
      <c r="E66" s="161">
        <v>14500</v>
      </c>
      <c r="F66" s="161">
        <v>14170.9</v>
      </c>
      <c r="G66" s="161"/>
      <c r="H66" s="161"/>
      <c r="I66" s="161">
        <f t="shared" si="12"/>
        <v>14170.9</v>
      </c>
      <c r="J66" s="330"/>
      <c r="K66" s="326"/>
      <c r="L66" s="323"/>
    </row>
    <row r="67" spans="1:12" ht="54.75" customHeight="1">
      <c r="A67" s="569">
        <v>8</v>
      </c>
      <c r="B67" s="571" t="s">
        <v>1360</v>
      </c>
      <c r="C67" s="333" t="s">
        <v>1361</v>
      </c>
      <c r="D67" s="161">
        <v>9500</v>
      </c>
      <c r="E67" s="161">
        <v>9500</v>
      </c>
      <c r="F67" s="161">
        <v>9153</v>
      </c>
      <c r="G67" s="161"/>
      <c r="H67" s="161"/>
      <c r="I67" s="161">
        <f t="shared" si="12"/>
        <v>9153</v>
      </c>
      <c r="J67" s="330"/>
      <c r="K67" s="326"/>
      <c r="L67" s="323"/>
    </row>
    <row r="68" spans="1:12" ht="53.25" customHeight="1">
      <c r="A68" s="569">
        <v>9</v>
      </c>
      <c r="B68" s="554" t="s">
        <v>1362</v>
      </c>
      <c r="C68" s="333" t="s">
        <v>1363</v>
      </c>
      <c r="D68" s="161">
        <v>10500</v>
      </c>
      <c r="E68" s="161">
        <v>10500</v>
      </c>
      <c r="F68" s="161">
        <v>10485</v>
      </c>
      <c r="G68" s="161"/>
      <c r="H68" s="161"/>
      <c r="I68" s="161">
        <f t="shared" si="12"/>
        <v>10485</v>
      </c>
      <c r="J68" s="330"/>
      <c r="K68" s="326"/>
      <c r="L68" s="323"/>
    </row>
    <row r="69" spans="1:12" ht="51.75" customHeight="1">
      <c r="A69" s="569">
        <v>10</v>
      </c>
      <c r="B69" s="571" t="s">
        <v>1364</v>
      </c>
      <c r="C69" s="333" t="s">
        <v>1365</v>
      </c>
      <c r="D69" s="161">
        <v>9000</v>
      </c>
      <c r="E69" s="161">
        <v>9000</v>
      </c>
      <c r="F69" s="161">
        <v>9000</v>
      </c>
      <c r="G69" s="161"/>
      <c r="H69" s="161">
        <v>100</v>
      </c>
      <c r="I69" s="161">
        <f t="shared" si="12"/>
        <v>8900</v>
      </c>
      <c r="J69" s="330"/>
      <c r="K69" s="326"/>
      <c r="L69" s="323"/>
    </row>
    <row r="70" spans="1:12" ht="52.5" customHeight="1">
      <c r="A70" s="569">
        <v>11</v>
      </c>
      <c r="B70" s="554" t="s">
        <v>1366</v>
      </c>
      <c r="C70" s="333" t="s">
        <v>1365</v>
      </c>
      <c r="D70" s="161">
        <v>12000</v>
      </c>
      <c r="E70" s="161">
        <v>12000</v>
      </c>
      <c r="F70" s="161">
        <v>12000</v>
      </c>
      <c r="G70" s="161"/>
      <c r="H70" s="161">
        <v>150</v>
      </c>
      <c r="I70" s="161">
        <f t="shared" si="12"/>
        <v>11850</v>
      </c>
      <c r="J70" s="330"/>
      <c r="K70" s="326"/>
      <c r="L70" s="323"/>
    </row>
    <row r="71" spans="1:12" ht="51.75" customHeight="1">
      <c r="A71" s="569">
        <v>12</v>
      </c>
      <c r="B71" s="571" t="s">
        <v>1367</v>
      </c>
      <c r="C71" s="333" t="s">
        <v>1365</v>
      </c>
      <c r="D71" s="161">
        <v>6000</v>
      </c>
      <c r="E71" s="161">
        <v>6000</v>
      </c>
      <c r="F71" s="161">
        <v>6000</v>
      </c>
      <c r="G71" s="158"/>
      <c r="H71" s="158">
        <v>227</v>
      </c>
      <c r="I71" s="161">
        <f t="shared" si="12"/>
        <v>5773</v>
      </c>
      <c r="J71" s="330"/>
      <c r="K71" s="326"/>
      <c r="L71" s="323"/>
    </row>
    <row r="72" spans="1:12" ht="24" customHeight="1">
      <c r="A72" s="559" t="s">
        <v>476</v>
      </c>
      <c r="B72" s="367" t="s">
        <v>1368</v>
      </c>
      <c r="C72" s="337"/>
      <c r="D72" s="158">
        <f>SUM(D73:D75)</f>
        <v>29977</v>
      </c>
      <c r="E72" s="158">
        <f t="shared" ref="E72:I72" si="16">SUM(E73:E75)</f>
        <v>29977</v>
      </c>
      <c r="F72" s="158">
        <f t="shared" si="16"/>
        <v>29977</v>
      </c>
      <c r="G72" s="158">
        <f t="shared" si="16"/>
        <v>0</v>
      </c>
      <c r="H72" s="158">
        <f t="shared" si="16"/>
        <v>678</v>
      </c>
      <c r="I72" s="158">
        <f t="shared" si="16"/>
        <v>29299</v>
      </c>
      <c r="J72" s="330"/>
      <c r="K72" s="326"/>
      <c r="L72" s="323"/>
    </row>
    <row r="73" spans="1:12" ht="73.5" customHeight="1">
      <c r="A73" s="548">
        <v>1</v>
      </c>
      <c r="B73" s="554" t="s">
        <v>1369</v>
      </c>
      <c r="C73" s="333" t="s">
        <v>1370</v>
      </c>
      <c r="D73" s="161">
        <v>13570</v>
      </c>
      <c r="E73" s="161">
        <v>13570</v>
      </c>
      <c r="F73" s="161">
        <v>13570</v>
      </c>
      <c r="G73" s="161"/>
      <c r="H73" s="161">
        <v>273</v>
      </c>
      <c r="I73" s="161">
        <f t="shared" si="12"/>
        <v>13297</v>
      </c>
      <c r="J73" s="330"/>
      <c r="K73" s="326"/>
      <c r="L73" s="323"/>
    </row>
    <row r="74" spans="1:12" ht="93" customHeight="1">
      <c r="A74" s="548">
        <v>2</v>
      </c>
      <c r="B74" s="554" t="s">
        <v>1371</v>
      </c>
      <c r="C74" s="333" t="s">
        <v>1372</v>
      </c>
      <c r="D74" s="161">
        <v>8000</v>
      </c>
      <c r="E74" s="161">
        <v>8000</v>
      </c>
      <c r="F74" s="161">
        <v>8000</v>
      </c>
      <c r="G74" s="161"/>
      <c r="H74" s="161">
        <v>43</v>
      </c>
      <c r="I74" s="161">
        <f t="shared" si="12"/>
        <v>7957</v>
      </c>
      <c r="J74" s="330"/>
      <c r="K74" s="326"/>
      <c r="L74" s="323"/>
    </row>
    <row r="75" spans="1:12" ht="72" customHeight="1">
      <c r="A75" s="548">
        <v>3</v>
      </c>
      <c r="B75" s="554" t="s">
        <v>1373</v>
      </c>
      <c r="C75" s="333" t="s">
        <v>1374</v>
      </c>
      <c r="D75" s="161">
        <v>8407</v>
      </c>
      <c r="E75" s="161">
        <v>8407</v>
      </c>
      <c r="F75" s="161">
        <v>8407</v>
      </c>
      <c r="G75" s="161"/>
      <c r="H75" s="161">
        <v>362</v>
      </c>
      <c r="I75" s="161">
        <f t="shared" si="12"/>
        <v>8045</v>
      </c>
      <c r="J75" s="330"/>
      <c r="K75" s="326"/>
      <c r="L75" s="323"/>
    </row>
    <row r="76" spans="1:12" ht="17.25" customHeight="1">
      <c r="A76" s="559" t="s">
        <v>489</v>
      </c>
      <c r="B76" s="367" t="s">
        <v>1375</v>
      </c>
      <c r="C76" s="337"/>
      <c r="D76" s="158">
        <f t="shared" ref="D76:I76" si="17">SUM(D77:D79)</f>
        <v>121000</v>
      </c>
      <c r="E76" s="158">
        <f t="shared" si="17"/>
        <v>121000</v>
      </c>
      <c r="F76" s="158">
        <f t="shared" si="17"/>
        <v>121000</v>
      </c>
      <c r="G76" s="158">
        <f t="shared" si="17"/>
        <v>0</v>
      </c>
      <c r="H76" s="158">
        <f t="shared" si="17"/>
        <v>2614</v>
      </c>
      <c r="I76" s="158">
        <f t="shared" si="17"/>
        <v>118386</v>
      </c>
      <c r="J76" s="330"/>
      <c r="K76" s="326"/>
      <c r="L76" s="323"/>
    </row>
    <row r="77" spans="1:12" ht="41.65">
      <c r="A77" s="553">
        <v>1</v>
      </c>
      <c r="B77" s="554" t="s">
        <v>1376</v>
      </c>
      <c r="C77" s="333" t="s">
        <v>1377</v>
      </c>
      <c r="D77" s="161">
        <v>65000</v>
      </c>
      <c r="E77" s="161">
        <v>65000</v>
      </c>
      <c r="F77" s="161">
        <v>65000</v>
      </c>
      <c r="G77" s="161"/>
      <c r="H77" s="161">
        <v>1465</v>
      </c>
      <c r="I77" s="161">
        <f t="shared" si="12"/>
        <v>63535</v>
      </c>
      <c r="J77" s="330"/>
      <c r="K77" s="326"/>
      <c r="L77" s="323"/>
    </row>
    <row r="78" spans="1:12" ht="41.65">
      <c r="A78" s="553">
        <v>2</v>
      </c>
      <c r="B78" s="554" t="s">
        <v>1378</v>
      </c>
      <c r="C78" s="333" t="s">
        <v>1379</v>
      </c>
      <c r="D78" s="161">
        <v>26000</v>
      </c>
      <c r="E78" s="161">
        <v>26000</v>
      </c>
      <c r="F78" s="161">
        <v>26000</v>
      </c>
      <c r="G78" s="161"/>
      <c r="H78" s="161">
        <v>1022</v>
      </c>
      <c r="I78" s="161">
        <f t="shared" si="12"/>
        <v>24978</v>
      </c>
      <c r="J78" s="330"/>
      <c r="K78" s="326"/>
      <c r="L78" s="323"/>
    </row>
    <row r="79" spans="1:12" ht="41.65">
      <c r="A79" s="553">
        <v>3</v>
      </c>
      <c r="B79" s="554" t="s">
        <v>1380</v>
      </c>
      <c r="C79" s="333" t="s">
        <v>1381</v>
      </c>
      <c r="D79" s="161">
        <v>30000</v>
      </c>
      <c r="E79" s="161">
        <v>30000</v>
      </c>
      <c r="F79" s="161">
        <v>30000</v>
      </c>
      <c r="G79" s="161"/>
      <c r="H79" s="161">
        <v>127</v>
      </c>
      <c r="I79" s="161">
        <f t="shared" si="12"/>
        <v>29873</v>
      </c>
      <c r="J79" s="330"/>
      <c r="K79" s="326"/>
      <c r="L79" s="323"/>
    </row>
    <row r="80" spans="1:12" ht="16.899999999999999" customHeight="1">
      <c r="A80" s="559" t="s">
        <v>495</v>
      </c>
      <c r="B80" s="367" t="s">
        <v>1382</v>
      </c>
      <c r="C80" s="337"/>
      <c r="D80" s="158">
        <f>SUM(D81:D86)</f>
        <v>74650</v>
      </c>
      <c r="E80" s="158">
        <f t="shared" ref="E80:I80" si="18">SUM(E81:E86)</f>
        <v>74650</v>
      </c>
      <c r="F80" s="158">
        <f t="shared" si="18"/>
        <v>58010</v>
      </c>
      <c r="G80" s="158">
        <f t="shared" si="18"/>
        <v>16000</v>
      </c>
      <c r="H80" s="158">
        <f t="shared" si="18"/>
        <v>496</v>
      </c>
      <c r="I80" s="158">
        <f t="shared" si="18"/>
        <v>73514</v>
      </c>
      <c r="J80" s="330"/>
      <c r="K80" s="326"/>
      <c r="L80" s="323"/>
    </row>
    <row r="81" spans="1:12" ht="27.75">
      <c r="A81" s="553">
        <v>1</v>
      </c>
      <c r="B81" s="572" t="s">
        <v>1383</v>
      </c>
      <c r="C81" s="333" t="s">
        <v>1384</v>
      </c>
      <c r="D81" s="161">
        <v>14200</v>
      </c>
      <c r="E81" s="161">
        <v>14200</v>
      </c>
      <c r="F81" s="161">
        <v>14110</v>
      </c>
      <c r="G81" s="161"/>
      <c r="H81" s="161">
        <v>86</v>
      </c>
      <c r="I81" s="161">
        <f t="shared" si="12"/>
        <v>14024</v>
      </c>
      <c r="J81" s="330"/>
      <c r="K81" s="326"/>
      <c r="L81" s="323"/>
    </row>
    <row r="82" spans="1:12" ht="54" customHeight="1">
      <c r="A82" s="553">
        <v>2</v>
      </c>
      <c r="B82" s="572" t="s">
        <v>1385</v>
      </c>
      <c r="C82" s="333" t="s">
        <v>1386</v>
      </c>
      <c r="D82" s="161">
        <v>8150</v>
      </c>
      <c r="E82" s="161">
        <v>8150</v>
      </c>
      <c r="F82" s="161">
        <v>8090</v>
      </c>
      <c r="G82" s="161"/>
      <c r="H82" s="161">
        <v>198</v>
      </c>
      <c r="I82" s="161">
        <f t="shared" si="12"/>
        <v>7892</v>
      </c>
      <c r="J82" s="330"/>
      <c r="K82" s="326"/>
      <c r="L82" s="323"/>
    </row>
    <row r="83" spans="1:12" ht="60.75" customHeight="1">
      <c r="A83" s="553">
        <v>3</v>
      </c>
      <c r="B83" s="572" t="s">
        <v>1387</v>
      </c>
      <c r="C83" s="333" t="s">
        <v>1388</v>
      </c>
      <c r="D83" s="161">
        <v>8800</v>
      </c>
      <c r="E83" s="161">
        <v>8800</v>
      </c>
      <c r="F83" s="161">
        <v>8800</v>
      </c>
      <c r="G83" s="161"/>
      <c r="H83" s="161">
        <v>113</v>
      </c>
      <c r="I83" s="161">
        <f t="shared" si="12"/>
        <v>8687</v>
      </c>
      <c r="J83" s="330"/>
      <c r="K83" s="326"/>
      <c r="L83" s="323"/>
    </row>
    <row r="84" spans="1:12" ht="59.25" customHeight="1">
      <c r="A84" s="553">
        <v>4</v>
      </c>
      <c r="B84" s="572" t="s">
        <v>1389</v>
      </c>
      <c r="C84" s="333" t="s">
        <v>1390</v>
      </c>
      <c r="D84" s="161">
        <v>13000</v>
      </c>
      <c r="E84" s="161">
        <v>13000</v>
      </c>
      <c r="F84" s="161">
        <v>12970</v>
      </c>
      <c r="G84" s="161"/>
      <c r="H84" s="161">
        <v>99</v>
      </c>
      <c r="I84" s="161">
        <f t="shared" si="12"/>
        <v>12871</v>
      </c>
      <c r="J84" s="330"/>
      <c r="K84" s="326"/>
      <c r="L84" s="323"/>
    </row>
    <row r="85" spans="1:12" ht="63.75" customHeight="1">
      <c r="A85" s="553">
        <v>5</v>
      </c>
      <c r="B85" s="554" t="s">
        <v>1391</v>
      </c>
      <c r="C85" s="333" t="s">
        <v>1392</v>
      </c>
      <c r="D85" s="161">
        <v>14500</v>
      </c>
      <c r="E85" s="161">
        <v>14500</v>
      </c>
      <c r="F85" s="161">
        <v>14040</v>
      </c>
      <c r="G85" s="161"/>
      <c r="H85" s="161"/>
      <c r="I85" s="161">
        <f t="shared" si="12"/>
        <v>14040</v>
      </c>
      <c r="J85" s="330"/>
      <c r="K85" s="340"/>
      <c r="L85" s="323"/>
    </row>
    <row r="86" spans="1:12" ht="66" customHeight="1">
      <c r="A86" s="553">
        <v>6</v>
      </c>
      <c r="B86" s="554" t="s">
        <v>1138</v>
      </c>
      <c r="C86" s="333" t="s">
        <v>1976</v>
      </c>
      <c r="D86" s="161">
        <v>16000</v>
      </c>
      <c r="E86" s="161">
        <v>16000</v>
      </c>
      <c r="F86" s="161">
        <v>0</v>
      </c>
      <c r="G86" s="161">
        <v>16000</v>
      </c>
      <c r="H86" s="162"/>
      <c r="I86" s="161">
        <f t="shared" si="12"/>
        <v>16000</v>
      </c>
      <c r="J86" s="330"/>
      <c r="K86" s="326"/>
      <c r="L86" s="323"/>
    </row>
    <row r="87" spans="1:12" ht="59.25" customHeight="1">
      <c r="A87" s="366" t="s">
        <v>38</v>
      </c>
      <c r="B87" s="367" t="s">
        <v>1393</v>
      </c>
      <c r="C87" s="330"/>
      <c r="D87" s="158">
        <f>D88</f>
        <v>620150.17233560095</v>
      </c>
      <c r="E87" s="158">
        <f t="shared" ref="E87:I87" si="19">E88</f>
        <v>592887.5</v>
      </c>
      <c r="F87" s="158">
        <f t="shared" si="19"/>
        <v>578312.29960100004</v>
      </c>
      <c r="G87" s="158">
        <f t="shared" si="19"/>
        <v>9884.77</v>
      </c>
      <c r="H87" s="158">
        <f t="shared" si="19"/>
        <v>9884.5879999999997</v>
      </c>
      <c r="I87" s="158">
        <f t="shared" si="19"/>
        <v>578312.48160100006</v>
      </c>
      <c r="J87" s="330"/>
      <c r="K87" s="326"/>
      <c r="L87" s="323"/>
    </row>
    <row r="88" spans="1:12" ht="42.75" customHeight="1">
      <c r="A88" s="573" t="s">
        <v>33</v>
      </c>
      <c r="B88" s="574" t="s">
        <v>1394</v>
      </c>
      <c r="C88" s="370"/>
      <c r="D88" s="575">
        <f>SUM(D89,D104,D110,D146,D215,D228,D260,D287)</f>
        <v>620150.17233560095</v>
      </c>
      <c r="E88" s="575">
        <f t="shared" ref="E88:I88" si="20">SUM(E89,E104,E110,E146,E215,E228,E260,E287)</f>
        <v>592887.5</v>
      </c>
      <c r="F88" s="575">
        <f t="shared" si="20"/>
        <v>578312.29960100004</v>
      </c>
      <c r="G88" s="575">
        <f t="shared" si="20"/>
        <v>9884.77</v>
      </c>
      <c r="H88" s="576">
        <f t="shared" si="20"/>
        <v>9884.5879999999997</v>
      </c>
      <c r="I88" s="575">
        <f t="shared" si="20"/>
        <v>578312.48160100006</v>
      </c>
      <c r="J88" s="577"/>
    </row>
    <row r="89" spans="1:12" ht="42.75" customHeight="1">
      <c r="A89" s="578" t="s">
        <v>1266</v>
      </c>
      <c r="B89" s="579" t="s">
        <v>400</v>
      </c>
      <c r="C89" s="337"/>
      <c r="D89" s="580">
        <f t="shared" ref="D89:H89" si="21">D90+D93</f>
        <v>28618</v>
      </c>
      <c r="E89" s="580">
        <f t="shared" si="21"/>
        <v>28618</v>
      </c>
      <c r="F89" s="580">
        <f t="shared" si="21"/>
        <v>26833</v>
      </c>
      <c r="G89" s="580">
        <f t="shared" si="21"/>
        <v>1697.1640000000007</v>
      </c>
      <c r="H89" s="581">
        <f t="shared" si="21"/>
        <v>1962</v>
      </c>
      <c r="I89" s="580">
        <f t="shared" ref="I89" si="22">I90+I93</f>
        <v>26568.164000000001</v>
      </c>
      <c r="J89" s="577"/>
    </row>
    <row r="90" spans="1:12" ht="58.5" customHeight="1">
      <c r="A90" s="337" t="s">
        <v>587</v>
      </c>
      <c r="B90" s="550" t="s">
        <v>1792</v>
      </c>
      <c r="C90" s="337"/>
      <c r="D90" s="580">
        <f t="shared" ref="D90:I90" si="23">D91+D92</f>
        <v>2773</v>
      </c>
      <c r="E90" s="580">
        <f t="shared" si="23"/>
        <v>2773</v>
      </c>
      <c r="F90" s="580">
        <f t="shared" si="23"/>
        <v>2287</v>
      </c>
      <c r="G90" s="580">
        <f t="shared" si="23"/>
        <v>528</v>
      </c>
      <c r="H90" s="581">
        <f t="shared" si="23"/>
        <v>1006</v>
      </c>
      <c r="I90" s="580">
        <f t="shared" si="23"/>
        <v>1809</v>
      </c>
      <c r="J90" s="577"/>
    </row>
    <row r="91" spans="1:12" ht="47.25" customHeight="1">
      <c r="A91" s="582">
        <v>1</v>
      </c>
      <c r="B91" s="583" t="s">
        <v>1878</v>
      </c>
      <c r="C91" s="333" t="s">
        <v>1877</v>
      </c>
      <c r="D91" s="180">
        <f>E91</f>
        <v>528</v>
      </c>
      <c r="E91" s="180">
        <v>528</v>
      </c>
      <c r="F91" s="180"/>
      <c r="G91" s="183">
        <v>528</v>
      </c>
      <c r="H91" s="184"/>
      <c r="I91" s="161">
        <f t="shared" ref="I91:I92" si="24">F91+G91-H91</f>
        <v>528</v>
      </c>
      <c r="J91" s="577"/>
    </row>
    <row r="92" spans="1:12" ht="51" customHeight="1">
      <c r="A92" s="582">
        <v>2</v>
      </c>
      <c r="B92" s="583" t="s">
        <v>1876</v>
      </c>
      <c r="C92" s="333" t="s">
        <v>1875</v>
      </c>
      <c r="D92" s="180">
        <f>E92</f>
        <v>2245</v>
      </c>
      <c r="E92" s="180">
        <v>2245</v>
      </c>
      <c r="F92" s="180">
        <v>2287</v>
      </c>
      <c r="G92" s="183"/>
      <c r="H92" s="184">
        <v>1006</v>
      </c>
      <c r="I92" s="161">
        <f t="shared" si="24"/>
        <v>1281</v>
      </c>
      <c r="J92" s="577"/>
    </row>
    <row r="93" spans="1:12" ht="108" customHeight="1">
      <c r="A93" s="337" t="s">
        <v>587</v>
      </c>
      <c r="B93" s="550" t="s">
        <v>1873</v>
      </c>
      <c r="C93" s="337"/>
      <c r="D93" s="580">
        <f t="shared" ref="D93:I93" si="25">SUM(D94:D103)</f>
        <v>25845</v>
      </c>
      <c r="E93" s="580">
        <f t="shared" si="25"/>
        <v>25845</v>
      </c>
      <c r="F93" s="580">
        <f t="shared" si="25"/>
        <v>24546</v>
      </c>
      <c r="G93" s="580">
        <f t="shared" si="25"/>
        <v>1169.1640000000007</v>
      </c>
      <c r="H93" s="581">
        <f t="shared" si="25"/>
        <v>956</v>
      </c>
      <c r="I93" s="580">
        <f t="shared" si="25"/>
        <v>24759.164000000001</v>
      </c>
      <c r="J93" s="577"/>
    </row>
    <row r="94" spans="1:12" ht="27.75">
      <c r="A94" s="333">
        <v>1</v>
      </c>
      <c r="B94" s="583" t="s">
        <v>1872</v>
      </c>
      <c r="C94" s="333" t="s">
        <v>1871</v>
      </c>
      <c r="D94" s="180">
        <f t="shared" ref="D94:D103" si="26">E94</f>
        <v>2500</v>
      </c>
      <c r="E94" s="180">
        <v>2500</v>
      </c>
      <c r="F94" s="180">
        <v>2500</v>
      </c>
      <c r="G94" s="183"/>
      <c r="H94" s="184">
        <v>240</v>
      </c>
      <c r="I94" s="161">
        <f t="shared" ref="I94:I103" si="27">F94+G94-H94</f>
        <v>2260</v>
      </c>
      <c r="J94" s="577"/>
    </row>
    <row r="95" spans="1:12" ht="27.75">
      <c r="A95" s="333">
        <v>2</v>
      </c>
      <c r="B95" s="584" t="s">
        <v>1870</v>
      </c>
      <c r="C95" s="585" t="s">
        <v>1869</v>
      </c>
      <c r="D95" s="180">
        <f t="shared" si="26"/>
        <v>3500</v>
      </c>
      <c r="E95" s="180">
        <v>3500</v>
      </c>
      <c r="F95" s="180">
        <v>3500</v>
      </c>
      <c r="G95" s="183"/>
      <c r="H95" s="184">
        <v>133</v>
      </c>
      <c r="I95" s="161">
        <f t="shared" si="27"/>
        <v>3367</v>
      </c>
      <c r="J95" s="577"/>
    </row>
    <row r="96" spans="1:12" ht="65.25" customHeight="1">
      <c r="A96" s="333">
        <v>3</v>
      </c>
      <c r="B96" s="583" t="s">
        <v>1868</v>
      </c>
      <c r="C96" s="333" t="s">
        <v>1867</v>
      </c>
      <c r="D96" s="180">
        <f t="shared" si="26"/>
        <v>6500</v>
      </c>
      <c r="E96" s="180">
        <v>6500</v>
      </c>
      <c r="F96" s="180">
        <v>6500</v>
      </c>
      <c r="G96" s="183"/>
      <c r="H96" s="184">
        <v>258</v>
      </c>
      <c r="I96" s="161">
        <f t="shared" si="27"/>
        <v>6242</v>
      </c>
      <c r="J96" s="577"/>
    </row>
    <row r="97" spans="1:12" ht="49.5" customHeight="1">
      <c r="A97" s="333">
        <v>4</v>
      </c>
      <c r="B97" s="583" t="s">
        <v>1866</v>
      </c>
      <c r="C97" s="333" t="s">
        <v>1865</v>
      </c>
      <c r="D97" s="180">
        <f t="shared" si="26"/>
        <v>1395</v>
      </c>
      <c r="E97" s="180">
        <v>1395</v>
      </c>
      <c r="F97" s="180">
        <v>1396</v>
      </c>
      <c r="G97" s="183"/>
      <c r="H97" s="184">
        <v>140</v>
      </c>
      <c r="I97" s="161">
        <f t="shared" si="27"/>
        <v>1256</v>
      </c>
      <c r="J97" s="577"/>
    </row>
    <row r="98" spans="1:12" ht="77.25" customHeight="1">
      <c r="A98" s="333">
        <v>5</v>
      </c>
      <c r="B98" s="583" t="s">
        <v>1864</v>
      </c>
      <c r="C98" s="333" t="s">
        <v>1863</v>
      </c>
      <c r="D98" s="180">
        <f t="shared" si="26"/>
        <v>1500</v>
      </c>
      <c r="E98" s="180">
        <v>1500</v>
      </c>
      <c r="F98" s="180">
        <v>1500</v>
      </c>
      <c r="G98" s="183"/>
      <c r="H98" s="184">
        <v>16</v>
      </c>
      <c r="I98" s="161">
        <f t="shared" si="27"/>
        <v>1484</v>
      </c>
      <c r="J98" s="577"/>
    </row>
    <row r="99" spans="1:12" ht="67.5" customHeight="1">
      <c r="A99" s="333">
        <v>6</v>
      </c>
      <c r="B99" s="583" t="s">
        <v>1862</v>
      </c>
      <c r="C99" s="333" t="s">
        <v>1861</v>
      </c>
      <c r="D99" s="180">
        <f t="shared" si="26"/>
        <v>1000</v>
      </c>
      <c r="E99" s="180">
        <v>1000</v>
      </c>
      <c r="F99" s="180">
        <v>1000</v>
      </c>
      <c r="G99" s="183"/>
      <c r="H99" s="184">
        <v>50</v>
      </c>
      <c r="I99" s="161">
        <f t="shared" si="27"/>
        <v>950</v>
      </c>
      <c r="J99" s="577"/>
    </row>
    <row r="100" spans="1:12" ht="62.25" customHeight="1">
      <c r="A100" s="333">
        <v>7</v>
      </c>
      <c r="B100" s="583" t="s">
        <v>1860</v>
      </c>
      <c r="C100" s="333" t="s">
        <v>1859</v>
      </c>
      <c r="D100" s="180">
        <f t="shared" si="26"/>
        <v>4040</v>
      </c>
      <c r="E100" s="180">
        <v>4040</v>
      </c>
      <c r="F100" s="180">
        <v>4040</v>
      </c>
      <c r="G100" s="183"/>
      <c r="H100" s="184">
        <v>40</v>
      </c>
      <c r="I100" s="161">
        <f t="shared" si="27"/>
        <v>4000</v>
      </c>
      <c r="J100" s="577"/>
    </row>
    <row r="101" spans="1:12" ht="57" customHeight="1">
      <c r="A101" s="333">
        <v>8</v>
      </c>
      <c r="B101" s="583" t="s">
        <v>1858</v>
      </c>
      <c r="C101" s="333" t="s">
        <v>1857</v>
      </c>
      <c r="D101" s="180">
        <f t="shared" si="26"/>
        <v>1000</v>
      </c>
      <c r="E101" s="180">
        <v>1000</v>
      </c>
      <c r="F101" s="180">
        <v>1000</v>
      </c>
      <c r="G101" s="183"/>
      <c r="H101" s="184">
        <v>50</v>
      </c>
      <c r="I101" s="161">
        <f t="shared" si="27"/>
        <v>950</v>
      </c>
      <c r="J101" s="577"/>
    </row>
    <row r="102" spans="1:12" ht="61.5" customHeight="1">
      <c r="A102" s="333">
        <v>9</v>
      </c>
      <c r="B102" s="583" t="s">
        <v>1856</v>
      </c>
      <c r="C102" s="333" t="s">
        <v>1855</v>
      </c>
      <c r="D102" s="180">
        <f t="shared" si="26"/>
        <v>3110</v>
      </c>
      <c r="E102" s="180">
        <v>3110</v>
      </c>
      <c r="F102" s="180">
        <v>3110</v>
      </c>
      <c r="G102" s="183"/>
      <c r="H102" s="184">
        <v>29</v>
      </c>
      <c r="I102" s="161">
        <f t="shared" si="27"/>
        <v>3081</v>
      </c>
      <c r="J102" s="577"/>
    </row>
    <row r="103" spans="1:12" ht="63.75" customHeight="1">
      <c r="A103" s="333">
        <v>13</v>
      </c>
      <c r="B103" s="586" t="s">
        <v>1853</v>
      </c>
      <c r="C103" s="587" t="s">
        <v>1852</v>
      </c>
      <c r="D103" s="180">
        <f t="shared" si="26"/>
        <v>1300</v>
      </c>
      <c r="E103" s="180">
        <v>1300</v>
      </c>
      <c r="F103" s="180"/>
      <c r="G103" s="183">
        <v>1169.1640000000007</v>
      </c>
      <c r="H103" s="184"/>
      <c r="I103" s="161">
        <f t="shared" si="27"/>
        <v>1169.1640000000007</v>
      </c>
      <c r="J103" s="577"/>
    </row>
    <row r="104" spans="1:12" ht="33" customHeight="1">
      <c r="A104" s="573" t="s">
        <v>1270</v>
      </c>
      <c r="B104" s="574" t="s">
        <v>1395</v>
      </c>
      <c r="C104" s="370"/>
      <c r="D104" s="588">
        <f>D105+D108</f>
        <v>17290</v>
      </c>
      <c r="E104" s="588">
        <f t="shared" ref="E104:I104" si="28">E105+E108</f>
        <v>17290</v>
      </c>
      <c r="F104" s="588">
        <f t="shared" si="28"/>
        <v>11790.2</v>
      </c>
      <c r="G104" s="588">
        <f t="shared" si="28"/>
        <v>5500</v>
      </c>
      <c r="H104" s="589">
        <f t="shared" si="28"/>
        <v>0</v>
      </c>
      <c r="I104" s="588">
        <f t="shared" si="28"/>
        <v>17290.2</v>
      </c>
      <c r="J104" s="590"/>
    </row>
    <row r="105" spans="1:12" ht="59.25" customHeight="1">
      <c r="A105" s="573" t="s">
        <v>587</v>
      </c>
      <c r="B105" s="574" t="s">
        <v>1396</v>
      </c>
      <c r="C105" s="370"/>
      <c r="D105" s="588">
        <f>D106</f>
        <v>5500</v>
      </c>
      <c r="E105" s="588">
        <f t="shared" ref="E105:I106" si="29">E106</f>
        <v>5500</v>
      </c>
      <c r="F105" s="588">
        <f t="shared" si="29"/>
        <v>2000</v>
      </c>
      <c r="G105" s="588">
        <f t="shared" si="29"/>
        <v>3500</v>
      </c>
      <c r="H105" s="589">
        <f t="shared" si="29"/>
        <v>0</v>
      </c>
      <c r="I105" s="588">
        <f t="shared" si="29"/>
        <v>5500</v>
      </c>
      <c r="J105" s="577"/>
    </row>
    <row r="106" spans="1:12" ht="32.25" customHeight="1">
      <c r="A106" s="573" t="s">
        <v>96</v>
      </c>
      <c r="B106" s="574" t="s">
        <v>1397</v>
      </c>
      <c r="C106" s="370"/>
      <c r="D106" s="588">
        <f>D107</f>
        <v>5500</v>
      </c>
      <c r="E106" s="588">
        <f t="shared" si="29"/>
        <v>5500</v>
      </c>
      <c r="F106" s="588">
        <f t="shared" si="29"/>
        <v>2000</v>
      </c>
      <c r="G106" s="588">
        <f t="shared" si="29"/>
        <v>3500</v>
      </c>
      <c r="H106" s="589">
        <f t="shared" si="29"/>
        <v>0</v>
      </c>
      <c r="I106" s="588">
        <f t="shared" si="29"/>
        <v>5500</v>
      </c>
      <c r="J106" s="577"/>
    </row>
    <row r="107" spans="1:12" ht="57" customHeight="1">
      <c r="A107" s="591"/>
      <c r="B107" s="592" t="s">
        <v>1398</v>
      </c>
      <c r="C107" s="593" t="s">
        <v>1399</v>
      </c>
      <c r="D107" s="594">
        <v>5500</v>
      </c>
      <c r="E107" s="594">
        <v>5500</v>
      </c>
      <c r="F107" s="594">
        <v>2000</v>
      </c>
      <c r="G107" s="594">
        <v>3500</v>
      </c>
      <c r="H107" s="595"/>
      <c r="I107" s="161">
        <f>F107+G107-H107</f>
        <v>5500</v>
      </c>
      <c r="J107" s="370" t="s">
        <v>1400</v>
      </c>
    </row>
    <row r="108" spans="1:12" ht="101.25" customHeight="1">
      <c r="A108" s="573" t="s">
        <v>587</v>
      </c>
      <c r="B108" s="574" t="s">
        <v>1401</v>
      </c>
      <c r="C108" s="370"/>
      <c r="D108" s="575">
        <f>D109</f>
        <v>11790</v>
      </c>
      <c r="E108" s="575">
        <f t="shared" ref="E108:I108" si="30">E109</f>
        <v>11790</v>
      </c>
      <c r="F108" s="575">
        <f t="shared" si="30"/>
        <v>9790.2000000000007</v>
      </c>
      <c r="G108" s="575">
        <f t="shared" si="30"/>
        <v>2000</v>
      </c>
      <c r="H108" s="576">
        <f t="shared" si="30"/>
        <v>0</v>
      </c>
      <c r="I108" s="575">
        <f t="shared" si="30"/>
        <v>11790.2</v>
      </c>
      <c r="J108" s="577"/>
    </row>
    <row r="109" spans="1:12" ht="99.75" customHeight="1">
      <c r="A109" s="591"/>
      <c r="B109" s="377" t="s">
        <v>1402</v>
      </c>
      <c r="C109" s="370" t="s">
        <v>1403</v>
      </c>
      <c r="D109" s="596">
        <v>11790</v>
      </c>
      <c r="E109" s="596">
        <v>11790</v>
      </c>
      <c r="F109" s="596">
        <v>9790.2000000000007</v>
      </c>
      <c r="G109" s="594">
        <v>2000</v>
      </c>
      <c r="H109" s="595"/>
      <c r="I109" s="161">
        <f t="shared" ref="I109:I173" si="31">F109+G109-H109</f>
        <v>11790.2</v>
      </c>
      <c r="J109" s="370" t="s">
        <v>1400</v>
      </c>
    </row>
    <row r="110" spans="1:12" ht="33" customHeight="1">
      <c r="A110" s="597" t="s">
        <v>1470</v>
      </c>
      <c r="B110" s="598" t="s">
        <v>1404</v>
      </c>
      <c r="C110" s="370"/>
      <c r="D110" s="575">
        <f t="shared" ref="D110:I110" si="32">D111+D136</f>
        <v>156862</v>
      </c>
      <c r="E110" s="575">
        <f t="shared" si="32"/>
        <v>156862</v>
      </c>
      <c r="F110" s="575">
        <f t="shared" si="32"/>
        <v>158465</v>
      </c>
      <c r="G110" s="575">
        <f t="shared" si="32"/>
        <v>0</v>
      </c>
      <c r="H110" s="576">
        <f t="shared" si="32"/>
        <v>2788</v>
      </c>
      <c r="I110" s="575">
        <f t="shared" si="32"/>
        <v>155677</v>
      </c>
      <c r="J110" s="370"/>
      <c r="K110" s="323"/>
      <c r="L110" s="323"/>
    </row>
    <row r="111" spans="1:12" ht="100.5" customHeight="1">
      <c r="A111" s="573" t="s">
        <v>587</v>
      </c>
      <c r="B111" s="574" t="s">
        <v>1401</v>
      </c>
      <c r="C111" s="370"/>
      <c r="D111" s="575">
        <f t="shared" ref="D111:I111" si="33">D112+D132+D134</f>
        <v>98562</v>
      </c>
      <c r="E111" s="575">
        <f t="shared" si="33"/>
        <v>98562</v>
      </c>
      <c r="F111" s="575">
        <f t="shared" si="33"/>
        <v>100165</v>
      </c>
      <c r="G111" s="575">
        <f t="shared" si="33"/>
        <v>0</v>
      </c>
      <c r="H111" s="576">
        <f t="shared" si="33"/>
        <v>1843</v>
      </c>
      <c r="I111" s="575">
        <f t="shared" si="33"/>
        <v>98322</v>
      </c>
      <c r="J111" s="370"/>
    </row>
    <row r="112" spans="1:12" ht="28.5" customHeight="1">
      <c r="A112" s="573" t="s">
        <v>144</v>
      </c>
      <c r="B112" s="574" t="s">
        <v>1405</v>
      </c>
      <c r="C112" s="370"/>
      <c r="D112" s="575">
        <f t="shared" ref="D112:I112" si="34">D113+D128</f>
        <v>83062</v>
      </c>
      <c r="E112" s="575">
        <f t="shared" si="34"/>
        <v>83062</v>
      </c>
      <c r="F112" s="575">
        <f t="shared" si="34"/>
        <v>84665</v>
      </c>
      <c r="G112" s="575">
        <f t="shared" si="34"/>
        <v>0</v>
      </c>
      <c r="H112" s="576">
        <f t="shared" si="34"/>
        <v>1821</v>
      </c>
      <c r="I112" s="575">
        <f t="shared" si="34"/>
        <v>82844</v>
      </c>
      <c r="J112" s="599">
        <v>0</v>
      </c>
    </row>
    <row r="113" spans="1:10" ht="28.5" customHeight="1">
      <c r="A113" s="573" t="s">
        <v>96</v>
      </c>
      <c r="B113" s="574" t="s">
        <v>1406</v>
      </c>
      <c r="C113" s="370"/>
      <c r="D113" s="575">
        <f t="shared" ref="D113:I113" si="35">SUM(D114:D127)</f>
        <v>77588</v>
      </c>
      <c r="E113" s="575">
        <f t="shared" si="35"/>
        <v>77588</v>
      </c>
      <c r="F113" s="575">
        <f t="shared" si="35"/>
        <v>79191</v>
      </c>
      <c r="G113" s="575">
        <f t="shared" si="35"/>
        <v>0</v>
      </c>
      <c r="H113" s="576">
        <f t="shared" si="35"/>
        <v>1662</v>
      </c>
      <c r="I113" s="575">
        <f t="shared" si="35"/>
        <v>77529</v>
      </c>
      <c r="J113" s="370"/>
    </row>
    <row r="114" spans="1:10" ht="51.75" customHeight="1">
      <c r="A114" s="600" t="s">
        <v>144</v>
      </c>
      <c r="B114" s="601" t="s">
        <v>1407</v>
      </c>
      <c r="C114" s="370" t="s">
        <v>1408</v>
      </c>
      <c r="D114" s="596">
        <v>3050</v>
      </c>
      <c r="E114" s="596">
        <v>3050</v>
      </c>
      <c r="F114" s="596">
        <v>3050</v>
      </c>
      <c r="G114" s="594"/>
      <c r="H114" s="595">
        <v>117</v>
      </c>
      <c r="I114" s="161">
        <f t="shared" si="31"/>
        <v>2933</v>
      </c>
      <c r="J114" s="370" t="s">
        <v>1409</v>
      </c>
    </row>
    <row r="115" spans="1:10" ht="102" customHeight="1">
      <c r="A115" s="600" t="s">
        <v>547</v>
      </c>
      <c r="B115" s="602" t="s">
        <v>1410</v>
      </c>
      <c r="C115" s="370" t="s">
        <v>1411</v>
      </c>
      <c r="D115" s="596">
        <v>6360</v>
      </c>
      <c r="E115" s="596">
        <v>6360</v>
      </c>
      <c r="F115" s="596">
        <v>6360</v>
      </c>
      <c r="G115" s="594"/>
      <c r="H115" s="595">
        <v>171</v>
      </c>
      <c r="I115" s="161">
        <f t="shared" si="31"/>
        <v>6189</v>
      </c>
      <c r="J115" s="370" t="s">
        <v>2006</v>
      </c>
    </row>
    <row r="116" spans="1:10" ht="108.75" customHeight="1">
      <c r="A116" s="600" t="s">
        <v>214</v>
      </c>
      <c r="B116" s="602" t="s">
        <v>1413</v>
      </c>
      <c r="C116" s="370" t="s">
        <v>1414</v>
      </c>
      <c r="D116" s="596">
        <v>5670</v>
      </c>
      <c r="E116" s="596">
        <v>5670</v>
      </c>
      <c r="F116" s="596">
        <v>5670</v>
      </c>
      <c r="G116" s="594"/>
      <c r="H116" s="595">
        <v>105</v>
      </c>
      <c r="I116" s="161">
        <f t="shared" si="31"/>
        <v>5565</v>
      </c>
      <c r="J116" s="370" t="s">
        <v>2006</v>
      </c>
    </row>
    <row r="117" spans="1:10" ht="61.5" customHeight="1">
      <c r="A117" s="600" t="s">
        <v>967</v>
      </c>
      <c r="B117" s="602" t="s">
        <v>1415</v>
      </c>
      <c r="C117" s="370" t="s">
        <v>1416</v>
      </c>
      <c r="D117" s="596">
        <v>4860</v>
      </c>
      <c r="E117" s="596">
        <v>4860</v>
      </c>
      <c r="F117" s="596">
        <v>4860</v>
      </c>
      <c r="G117" s="594"/>
      <c r="H117" s="595">
        <v>40</v>
      </c>
      <c r="I117" s="161">
        <f t="shared" si="31"/>
        <v>4820</v>
      </c>
      <c r="J117" s="370"/>
    </row>
    <row r="118" spans="1:10" ht="61.5" customHeight="1">
      <c r="A118" s="600" t="s">
        <v>968</v>
      </c>
      <c r="B118" s="601" t="s">
        <v>1417</v>
      </c>
      <c r="C118" s="603" t="s">
        <v>1418</v>
      </c>
      <c r="D118" s="596">
        <v>14000</v>
      </c>
      <c r="E118" s="596">
        <v>14000</v>
      </c>
      <c r="F118" s="596">
        <v>14000</v>
      </c>
      <c r="G118" s="594"/>
      <c r="H118" s="595">
        <v>269</v>
      </c>
      <c r="I118" s="161">
        <f t="shared" si="31"/>
        <v>13731</v>
      </c>
      <c r="J118" s="370" t="s">
        <v>1409</v>
      </c>
    </row>
    <row r="119" spans="1:10" ht="41.65">
      <c r="A119" s="600" t="s">
        <v>969</v>
      </c>
      <c r="B119" s="601" t="s">
        <v>1419</v>
      </c>
      <c r="C119" s="370" t="s">
        <v>1420</v>
      </c>
      <c r="D119" s="596">
        <v>6740</v>
      </c>
      <c r="E119" s="596">
        <v>6740</v>
      </c>
      <c r="F119" s="596">
        <v>6740</v>
      </c>
      <c r="G119" s="594"/>
      <c r="H119" s="595">
        <v>124</v>
      </c>
      <c r="I119" s="161">
        <f t="shared" si="31"/>
        <v>6616</v>
      </c>
      <c r="J119" s="370" t="s">
        <v>1409</v>
      </c>
    </row>
    <row r="120" spans="1:10" ht="122.25" customHeight="1">
      <c r="A120" s="600" t="s">
        <v>970</v>
      </c>
      <c r="B120" s="602" t="s">
        <v>1422</v>
      </c>
      <c r="C120" s="370" t="s">
        <v>1423</v>
      </c>
      <c r="D120" s="596">
        <v>9585</v>
      </c>
      <c r="E120" s="596">
        <v>9585</v>
      </c>
      <c r="F120" s="596">
        <v>9585</v>
      </c>
      <c r="G120" s="594"/>
      <c r="H120" s="595">
        <v>250</v>
      </c>
      <c r="I120" s="161">
        <f t="shared" si="31"/>
        <v>9335</v>
      </c>
      <c r="J120" s="370" t="s">
        <v>2006</v>
      </c>
    </row>
    <row r="121" spans="1:10" ht="111.75" customHeight="1">
      <c r="A121" s="600" t="s">
        <v>971</v>
      </c>
      <c r="B121" s="602" t="s">
        <v>1425</v>
      </c>
      <c r="C121" s="370" t="s">
        <v>1426</v>
      </c>
      <c r="D121" s="596">
        <v>4675</v>
      </c>
      <c r="E121" s="596">
        <v>4675</v>
      </c>
      <c r="F121" s="596">
        <v>4675</v>
      </c>
      <c r="G121" s="594"/>
      <c r="H121" s="595">
        <v>102</v>
      </c>
      <c r="I121" s="161">
        <f t="shared" si="31"/>
        <v>4573</v>
      </c>
      <c r="J121" s="370" t="s">
        <v>2006</v>
      </c>
    </row>
    <row r="122" spans="1:10" ht="111.75" customHeight="1">
      <c r="A122" s="600" t="s">
        <v>972</v>
      </c>
      <c r="B122" s="602" t="s">
        <v>1428</v>
      </c>
      <c r="C122" s="370" t="s">
        <v>1429</v>
      </c>
      <c r="D122" s="596">
        <v>4180</v>
      </c>
      <c r="E122" s="596">
        <v>4180</v>
      </c>
      <c r="F122" s="596">
        <v>4180</v>
      </c>
      <c r="G122" s="594"/>
      <c r="H122" s="595">
        <v>168</v>
      </c>
      <c r="I122" s="161">
        <f t="shared" si="31"/>
        <v>4012</v>
      </c>
      <c r="J122" s="370" t="s">
        <v>2006</v>
      </c>
    </row>
    <row r="123" spans="1:10" ht="49.5" customHeight="1">
      <c r="A123" s="600" t="s">
        <v>973</v>
      </c>
      <c r="B123" s="602" t="s">
        <v>1430</v>
      </c>
      <c r="C123" s="370" t="s">
        <v>1431</v>
      </c>
      <c r="D123" s="596">
        <v>1200</v>
      </c>
      <c r="E123" s="596">
        <v>1200</v>
      </c>
      <c r="F123" s="596">
        <v>1200</v>
      </c>
      <c r="G123" s="594"/>
      <c r="H123" s="595">
        <v>15</v>
      </c>
      <c r="I123" s="161">
        <f t="shared" si="31"/>
        <v>1185</v>
      </c>
      <c r="J123" s="370" t="s">
        <v>1409</v>
      </c>
    </row>
    <row r="124" spans="1:10" ht="101.25" customHeight="1">
      <c r="A124" s="600" t="s">
        <v>974</v>
      </c>
      <c r="B124" s="602" t="s">
        <v>1432</v>
      </c>
      <c r="C124" s="370" t="s">
        <v>1433</v>
      </c>
      <c r="D124" s="596">
        <v>7425</v>
      </c>
      <c r="E124" s="596">
        <v>7425</v>
      </c>
      <c r="F124" s="596">
        <v>7425</v>
      </c>
      <c r="G124" s="594"/>
      <c r="H124" s="595">
        <v>132</v>
      </c>
      <c r="I124" s="161">
        <f t="shared" si="31"/>
        <v>7293</v>
      </c>
      <c r="J124" s="370" t="s">
        <v>2006</v>
      </c>
    </row>
    <row r="125" spans="1:10" ht="55.35" customHeight="1">
      <c r="A125" s="600" t="s">
        <v>1421</v>
      </c>
      <c r="B125" s="602" t="s">
        <v>1434</v>
      </c>
      <c r="C125" s="370" t="s">
        <v>1435</v>
      </c>
      <c r="D125" s="596">
        <v>5546</v>
      </c>
      <c r="E125" s="596">
        <v>5546</v>
      </c>
      <c r="F125" s="596">
        <v>5546</v>
      </c>
      <c r="G125" s="594"/>
      <c r="H125" s="595">
        <v>32</v>
      </c>
      <c r="I125" s="161">
        <f t="shared" si="31"/>
        <v>5514</v>
      </c>
      <c r="J125" s="370"/>
    </row>
    <row r="126" spans="1:10" ht="55.35" customHeight="1">
      <c r="A126" s="600" t="s">
        <v>1424</v>
      </c>
      <c r="B126" s="602" t="s">
        <v>1436</v>
      </c>
      <c r="C126" s="354" t="s">
        <v>1844</v>
      </c>
      <c r="D126" s="355">
        <v>1447</v>
      </c>
      <c r="E126" s="355">
        <v>1447</v>
      </c>
      <c r="F126" s="356">
        <v>3050</v>
      </c>
      <c r="G126" s="594"/>
      <c r="H126" s="595">
        <v>85</v>
      </c>
      <c r="I126" s="161">
        <f t="shared" ref="I126" si="36">F126+G126-H126</f>
        <v>2965</v>
      </c>
      <c r="J126" s="370" t="s">
        <v>1409</v>
      </c>
    </row>
    <row r="127" spans="1:10" ht="55.35" customHeight="1">
      <c r="A127" s="600" t="s">
        <v>1427</v>
      </c>
      <c r="B127" s="602" t="s">
        <v>1436</v>
      </c>
      <c r="C127" s="370" t="s">
        <v>1437</v>
      </c>
      <c r="D127" s="596">
        <v>2850</v>
      </c>
      <c r="E127" s="596">
        <v>2850</v>
      </c>
      <c r="F127" s="596">
        <v>2850</v>
      </c>
      <c r="G127" s="594"/>
      <c r="H127" s="595">
        <v>52</v>
      </c>
      <c r="I127" s="161">
        <f t="shared" si="31"/>
        <v>2798</v>
      </c>
      <c r="J127" s="370" t="s">
        <v>1409</v>
      </c>
    </row>
    <row r="128" spans="1:10" ht="42.75" customHeight="1">
      <c r="A128" s="573" t="s">
        <v>97</v>
      </c>
      <c r="B128" s="574" t="s">
        <v>1438</v>
      </c>
      <c r="C128" s="370"/>
      <c r="D128" s="575">
        <f>SUM(D129:D131)</f>
        <v>5474</v>
      </c>
      <c r="E128" s="575">
        <f t="shared" ref="E128:I128" si="37">SUM(E129:E131)</f>
        <v>5474</v>
      </c>
      <c r="F128" s="575">
        <f t="shared" si="37"/>
        <v>5474</v>
      </c>
      <c r="G128" s="575">
        <f t="shared" si="37"/>
        <v>0</v>
      </c>
      <c r="H128" s="576">
        <f>SUM(H129:H131)</f>
        <v>159</v>
      </c>
      <c r="I128" s="575">
        <f t="shared" si="37"/>
        <v>5315</v>
      </c>
      <c r="J128" s="599">
        <v>0</v>
      </c>
    </row>
    <row r="129" spans="1:12" ht="101.45" customHeight="1">
      <c r="A129" s="600" t="s">
        <v>144</v>
      </c>
      <c r="B129" s="602" t="s">
        <v>1439</v>
      </c>
      <c r="C129" s="370" t="s">
        <v>1440</v>
      </c>
      <c r="D129" s="596">
        <v>1019</v>
      </c>
      <c r="E129" s="596">
        <v>1019</v>
      </c>
      <c r="F129" s="596">
        <v>1019</v>
      </c>
      <c r="G129" s="594"/>
      <c r="H129" s="595">
        <v>30</v>
      </c>
      <c r="I129" s="161">
        <f t="shared" si="31"/>
        <v>989</v>
      </c>
      <c r="J129" s="370" t="s">
        <v>2006</v>
      </c>
    </row>
    <row r="130" spans="1:12" ht="101.45" customHeight="1">
      <c r="A130" s="600" t="s">
        <v>547</v>
      </c>
      <c r="B130" s="602" t="s">
        <v>1441</v>
      </c>
      <c r="C130" s="370" t="s">
        <v>1442</v>
      </c>
      <c r="D130" s="596">
        <v>2475</v>
      </c>
      <c r="E130" s="596">
        <v>2475</v>
      </c>
      <c r="F130" s="596">
        <v>2475</v>
      </c>
      <c r="G130" s="594"/>
      <c r="H130" s="595">
        <v>89</v>
      </c>
      <c r="I130" s="161">
        <f t="shared" si="31"/>
        <v>2386</v>
      </c>
      <c r="J130" s="370" t="s">
        <v>2006</v>
      </c>
    </row>
    <row r="131" spans="1:12" ht="101.45" customHeight="1">
      <c r="A131" s="600" t="s">
        <v>214</v>
      </c>
      <c r="B131" s="602" t="s">
        <v>1443</v>
      </c>
      <c r="C131" s="370" t="s">
        <v>1444</v>
      </c>
      <c r="D131" s="596">
        <v>1980</v>
      </c>
      <c r="E131" s="596">
        <v>1980</v>
      </c>
      <c r="F131" s="596">
        <v>1980</v>
      </c>
      <c r="G131" s="594"/>
      <c r="H131" s="595">
        <v>40</v>
      </c>
      <c r="I131" s="161">
        <f t="shared" si="31"/>
        <v>1940</v>
      </c>
      <c r="J131" s="370" t="s">
        <v>2006</v>
      </c>
      <c r="L131" s="323"/>
    </row>
    <row r="132" spans="1:12" ht="48.75" customHeight="1">
      <c r="A132" s="573" t="s">
        <v>547</v>
      </c>
      <c r="B132" s="574" t="s">
        <v>1445</v>
      </c>
      <c r="C132" s="370"/>
      <c r="D132" s="575">
        <f>D133</f>
        <v>14500</v>
      </c>
      <c r="E132" s="575">
        <f t="shared" ref="E132:I132" si="38">E133</f>
        <v>14500</v>
      </c>
      <c r="F132" s="575">
        <f t="shared" si="38"/>
        <v>14500</v>
      </c>
      <c r="G132" s="575">
        <f t="shared" si="38"/>
        <v>0</v>
      </c>
      <c r="H132" s="576">
        <f t="shared" si="38"/>
        <v>0</v>
      </c>
      <c r="I132" s="575">
        <f t="shared" si="38"/>
        <v>14500</v>
      </c>
      <c r="J132" s="599">
        <v>0</v>
      </c>
    </row>
    <row r="133" spans="1:12" ht="102" customHeight="1">
      <c r="A133" s="604">
        <v>2</v>
      </c>
      <c r="B133" s="605" t="s">
        <v>1446</v>
      </c>
      <c r="C133" s="603" t="s">
        <v>1447</v>
      </c>
      <c r="D133" s="596">
        <v>14500</v>
      </c>
      <c r="E133" s="596">
        <v>14500</v>
      </c>
      <c r="F133" s="596">
        <v>14500</v>
      </c>
      <c r="G133" s="596"/>
      <c r="H133" s="606"/>
      <c r="I133" s="161">
        <f t="shared" si="31"/>
        <v>14500</v>
      </c>
      <c r="J133" s="370" t="s">
        <v>2006</v>
      </c>
      <c r="L133" s="323"/>
    </row>
    <row r="134" spans="1:12" ht="42.75" customHeight="1">
      <c r="A134" s="573" t="s">
        <v>214</v>
      </c>
      <c r="B134" s="574" t="s">
        <v>1448</v>
      </c>
      <c r="C134" s="370"/>
      <c r="D134" s="588">
        <f>D135</f>
        <v>1000</v>
      </c>
      <c r="E134" s="588">
        <f t="shared" ref="E134:I134" si="39">E135</f>
        <v>1000</v>
      </c>
      <c r="F134" s="588">
        <f t="shared" si="39"/>
        <v>1000</v>
      </c>
      <c r="G134" s="588">
        <f t="shared" si="39"/>
        <v>0</v>
      </c>
      <c r="H134" s="589">
        <f t="shared" si="39"/>
        <v>22</v>
      </c>
      <c r="I134" s="588">
        <f t="shared" si="39"/>
        <v>978</v>
      </c>
      <c r="J134" s="590">
        <v>0</v>
      </c>
    </row>
    <row r="135" spans="1:12" ht="105" customHeight="1">
      <c r="A135" s="600" t="s">
        <v>144</v>
      </c>
      <c r="B135" s="602" t="s">
        <v>1449</v>
      </c>
      <c r="C135" s="370" t="s">
        <v>1450</v>
      </c>
      <c r="D135" s="596">
        <v>1000</v>
      </c>
      <c r="E135" s="596">
        <v>1000</v>
      </c>
      <c r="F135" s="596">
        <v>1000</v>
      </c>
      <c r="G135" s="594"/>
      <c r="H135" s="595">
        <v>22</v>
      </c>
      <c r="I135" s="161">
        <f t="shared" si="31"/>
        <v>978</v>
      </c>
      <c r="J135" s="370" t="s">
        <v>2006</v>
      </c>
    </row>
    <row r="136" spans="1:12" ht="74.25" customHeight="1">
      <c r="A136" s="573" t="s">
        <v>587</v>
      </c>
      <c r="B136" s="574" t="s">
        <v>1451</v>
      </c>
      <c r="C136" s="370"/>
      <c r="D136" s="575">
        <f>SUM(D137:D145)</f>
        <v>58300</v>
      </c>
      <c r="E136" s="575">
        <f t="shared" ref="E136:I136" si="40">SUM(E137:E145)</f>
        <v>58300</v>
      </c>
      <c r="F136" s="575">
        <f t="shared" si="40"/>
        <v>58300</v>
      </c>
      <c r="G136" s="575">
        <f t="shared" si="40"/>
        <v>0</v>
      </c>
      <c r="H136" s="576">
        <f>SUM(H137:H145)</f>
        <v>945</v>
      </c>
      <c r="I136" s="575">
        <f t="shared" si="40"/>
        <v>57355</v>
      </c>
      <c r="J136" s="599">
        <v>0</v>
      </c>
    </row>
    <row r="137" spans="1:12" ht="107.45" customHeight="1">
      <c r="A137" s="600" t="s">
        <v>214</v>
      </c>
      <c r="B137" s="607" t="s">
        <v>1452</v>
      </c>
      <c r="C137" s="370" t="s">
        <v>1453</v>
      </c>
      <c r="D137" s="608">
        <v>5000</v>
      </c>
      <c r="E137" s="608">
        <v>5000</v>
      </c>
      <c r="F137" s="608">
        <v>5000</v>
      </c>
      <c r="G137" s="608"/>
      <c r="H137" s="609">
        <v>116</v>
      </c>
      <c r="I137" s="161">
        <f t="shared" si="31"/>
        <v>4884</v>
      </c>
      <c r="J137" s="370" t="s">
        <v>2006</v>
      </c>
    </row>
    <row r="138" spans="1:12" ht="107.45" customHeight="1">
      <c r="A138" s="600" t="s">
        <v>967</v>
      </c>
      <c r="B138" s="607" t="s">
        <v>1454</v>
      </c>
      <c r="C138" s="370" t="s">
        <v>1455</v>
      </c>
      <c r="D138" s="608">
        <v>5000</v>
      </c>
      <c r="E138" s="608">
        <v>5000</v>
      </c>
      <c r="F138" s="608">
        <v>5000</v>
      </c>
      <c r="G138" s="608"/>
      <c r="H138" s="609">
        <v>111</v>
      </c>
      <c r="I138" s="161">
        <f t="shared" si="31"/>
        <v>4889</v>
      </c>
      <c r="J138" s="370" t="s">
        <v>2006</v>
      </c>
    </row>
    <row r="139" spans="1:12" ht="107.45" customHeight="1">
      <c r="A139" s="600" t="s">
        <v>968</v>
      </c>
      <c r="B139" s="607" t="s">
        <v>1456</v>
      </c>
      <c r="C139" s="370" t="s">
        <v>1457</v>
      </c>
      <c r="D139" s="608">
        <v>8000</v>
      </c>
      <c r="E139" s="608">
        <v>8000</v>
      </c>
      <c r="F139" s="608">
        <v>8000</v>
      </c>
      <c r="G139" s="608"/>
      <c r="H139" s="609">
        <v>120</v>
      </c>
      <c r="I139" s="161">
        <f t="shared" si="31"/>
        <v>7880</v>
      </c>
      <c r="J139" s="370" t="s">
        <v>2006</v>
      </c>
    </row>
    <row r="140" spans="1:12" ht="107.45" customHeight="1">
      <c r="A140" s="600" t="s">
        <v>969</v>
      </c>
      <c r="B140" s="607" t="s">
        <v>1458</v>
      </c>
      <c r="C140" s="370" t="s">
        <v>1459</v>
      </c>
      <c r="D140" s="608">
        <v>6300</v>
      </c>
      <c r="E140" s="608">
        <v>6300</v>
      </c>
      <c r="F140" s="608">
        <v>6300</v>
      </c>
      <c r="G140" s="608"/>
      <c r="H140" s="609">
        <v>50</v>
      </c>
      <c r="I140" s="161">
        <f t="shared" si="31"/>
        <v>6250</v>
      </c>
      <c r="J140" s="370" t="s">
        <v>2006</v>
      </c>
    </row>
    <row r="141" spans="1:12" ht="97.5" customHeight="1">
      <c r="A141" s="600" t="s">
        <v>971</v>
      </c>
      <c r="B141" s="607" t="s">
        <v>1460</v>
      </c>
      <c r="C141" s="370" t="s">
        <v>1461</v>
      </c>
      <c r="D141" s="608">
        <v>6000</v>
      </c>
      <c r="E141" s="608">
        <v>6000</v>
      </c>
      <c r="F141" s="608">
        <v>6000</v>
      </c>
      <c r="G141" s="608"/>
      <c r="H141" s="609">
        <v>80</v>
      </c>
      <c r="I141" s="161">
        <f t="shared" si="31"/>
        <v>5920</v>
      </c>
      <c r="J141" s="370" t="s">
        <v>2006</v>
      </c>
    </row>
    <row r="142" spans="1:12" ht="102" customHeight="1">
      <c r="A142" s="600" t="s">
        <v>972</v>
      </c>
      <c r="B142" s="607" t="s">
        <v>1462</v>
      </c>
      <c r="C142" s="370" t="s">
        <v>1463</v>
      </c>
      <c r="D142" s="608">
        <v>6000</v>
      </c>
      <c r="E142" s="608">
        <v>6000</v>
      </c>
      <c r="F142" s="608">
        <v>6000</v>
      </c>
      <c r="G142" s="608"/>
      <c r="H142" s="609">
        <v>20</v>
      </c>
      <c r="I142" s="161">
        <f t="shared" si="31"/>
        <v>5980</v>
      </c>
      <c r="J142" s="370" t="s">
        <v>2006</v>
      </c>
    </row>
    <row r="143" spans="1:12" ht="97.5" customHeight="1">
      <c r="A143" s="600" t="s">
        <v>973</v>
      </c>
      <c r="B143" s="607" t="s">
        <v>1464</v>
      </c>
      <c r="C143" s="370" t="s">
        <v>1465</v>
      </c>
      <c r="D143" s="608">
        <v>6500</v>
      </c>
      <c r="E143" s="608">
        <v>6500</v>
      </c>
      <c r="F143" s="608">
        <v>6500</v>
      </c>
      <c r="G143" s="608"/>
      <c r="H143" s="609">
        <v>147</v>
      </c>
      <c r="I143" s="161">
        <f t="shared" si="31"/>
        <v>6353</v>
      </c>
      <c r="J143" s="370" t="s">
        <v>2006</v>
      </c>
      <c r="L143" s="323"/>
    </row>
    <row r="144" spans="1:12" ht="93" customHeight="1">
      <c r="A144" s="600" t="s">
        <v>974</v>
      </c>
      <c r="B144" s="607" t="s">
        <v>1466</v>
      </c>
      <c r="C144" s="370" t="s">
        <v>1467</v>
      </c>
      <c r="D144" s="608">
        <v>7000</v>
      </c>
      <c r="E144" s="608">
        <v>7000</v>
      </c>
      <c r="F144" s="608">
        <v>7000</v>
      </c>
      <c r="G144" s="608"/>
      <c r="H144" s="609">
        <v>85</v>
      </c>
      <c r="I144" s="161">
        <f t="shared" si="31"/>
        <v>6915</v>
      </c>
      <c r="J144" s="370" t="s">
        <v>1412</v>
      </c>
      <c r="L144" s="323"/>
    </row>
    <row r="145" spans="1:10" ht="99" customHeight="1">
      <c r="A145" s="600" t="s">
        <v>1421</v>
      </c>
      <c r="B145" s="607" t="s">
        <v>1468</v>
      </c>
      <c r="C145" s="370" t="s">
        <v>1469</v>
      </c>
      <c r="D145" s="608">
        <v>8500</v>
      </c>
      <c r="E145" s="608">
        <v>8500</v>
      </c>
      <c r="F145" s="608">
        <v>8500</v>
      </c>
      <c r="G145" s="608"/>
      <c r="H145" s="609">
        <v>216</v>
      </c>
      <c r="I145" s="161">
        <f t="shared" si="31"/>
        <v>8284</v>
      </c>
      <c r="J145" s="370" t="s">
        <v>2006</v>
      </c>
    </row>
    <row r="146" spans="1:10" ht="32.25" customHeight="1">
      <c r="A146" s="610" t="s">
        <v>1611</v>
      </c>
      <c r="B146" s="611" t="s">
        <v>1471</v>
      </c>
      <c r="C146" s="370"/>
      <c r="D146" s="575">
        <f>D147+D153+D206</f>
        <v>164101</v>
      </c>
      <c r="E146" s="575">
        <f t="shared" ref="E146:I146" si="41">E147+E153+E206</f>
        <v>150346.6</v>
      </c>
      <c r="F146" s="575">
        <f t="shared" si="41"/>
        <v>151898.79960100001</v>
      </c>
      <c r="G146" s="575">
        <f t="shared" si="41"/>
        <v>748.60599999999999</v>
      </c>
      <c r="H146" s="576">
        <f t="shared" si="41"/>
        <v>1469.588</v>
      </c>
      <c r="I146" s="575">
        <f t="shared" si="41"/>
        <v>151177.81760100002</v>
      </c>
      <c r="J146" s="599">
        <v>0</v>
      </c>
    </row>
    <row r="147" spans="1:10" ht="58.5" customHeight="1">
      <c r="A147" s="573" t="s">
        <v>587</v>
      </c>
      <c r="B147" s="574" t="s">
        <v>1396</v>
      </c>
      <c r="C147" s="370"/>
      <c r="D147" s="575">
        <f>D148</f>
        <v>13264</v>
      </c>
      <c r="E147" s="575">
        <f t="shared" ref="E147:I147" si="42">E148</f>
        <v>13264</v>
      </c>
      <c r="F147" s="575">
        <f t="shared" si="42"/>
        <v>12919.191999999999</v>
      </c>
      <c r="G147" s="575">
        <f t="shared" si="42"/>
        <v>1.845</v>
      </c>
      <c r="H147" s="576">
        <f t="shared" si="42"/>
        <v>60</v>
      </c>
      <c r="I147" s="575">
        <f t="shared" si="42"/>
        <v>12861.037</v>
      </c>
      <c r="J147" s="599">
        <v>0</v>
      </c>
    </row>
    <row r="148" spans="1:10" ht="36" customHeight="1">
      <c r="A148" s="573" t="s">
        <v>96</v>
      </c>
      <c r="B148" s="574" t="s">
        <v>1397</v>
      </c>
      <c r="C148" s="370"/>
      <c r="D148" s="575">
        <f>SUM(D149:D152)</f>
        <v>13264</v>
      </c>
      <c r="E148" s="575">
        <f t="shared" ref="E148:I148" si="43">SUM(E149:E152)</f>
        <v>13264</v>
      </c>
      <c r="F148" s="575">
        <f t="shared" si="43"/>
        <v>12919.191999999999</v>
      </c>
      <c r="G148" s="575">
        <f t="shared" si="43"/>
        <v>1.845</v>
      </c>
      <c r="H148" s="576">
        <f t="shared" si="43"/>
        <v>60</v>
      </c>
      <c r="I148" s="575">
        <f t="shared" si="43"/>
        <v>12861.037</v>
      </c>
      <c r="J148" s="370"/>
    </row>
    <row r="149" spans="1:10" ht="65.25" customHeight="1">
      <c r="A149" s="603">
        <v>3</v>
      </c>
      <c r="B149" s="602" t="s">
        <v>1472</v>
      </c>
      <c r="C149" s="370" t="s">
        <v>1473</v>
      </c>
      <c r="D149" s="608">
        <v>1500</v>
      </c>
      <c r="E149" s="608">
        <v>1500</v>
      </c>
      <c r="F149" s="608">
        <v>1500</v>
      </c>
      <c r="G149" s="608"/>
      <c r="H149" s="609">
        <v>48</v>
      </c>
      <c r="I149" s="161">
        <f t="shared" si="31"/>
        <v>1452</v>
      </c>
      <c r="J149" s="370" t="s">
        <v>1474</v>
      </c>
    </row>
    <row r="150" spans="1:10" ht="46.5" customHeight="1">
      <c r="A150" s="603">
        <v>5</v>
      </c>
      <c r="B150" s="602" t="s">
        <v>1475</v>
      </c>
      <c r="C150" s="375" t="s">
        <v>1476</v>
      </c>
      <c r="D150" s="608">
        <v>6000</v>
      </c>
      <c r="E150" s="608">
        <v>6000</v>
      </c>
      <c r="F150" s="608">
        <v>5910.9089999999997</v>
      </c>
      <c r="G150" s="609">
        <v>1.5620000000000001</v>
      </c>
      <c r="H150" s="609"/>
      <c r="I150" s="161">
        <f t="shared" si="31"/>
        <v>5912.4709999999995</v>
      </c>
      <c r="J150" s="370"/>
    </row>
    <row r="151" spans="1:10" ht="72.75" customHeight="1">
      <c r="A151" s="603">
        <v>6</v>
      </c>
      <c r="B151" s="602" t="s">
        <v>1477</v>
      </c>
      <c r="C151" s="375" t="s">
        <v>1478</v>
      </c>
      <c r="D151" s="608">
        <v>4464</v>
      </c>
      <c r="E151" s="608">
        <v>4464</v>
      </c>
      <c r="F151" s="608">
        <v>4208.2830000000004</v>
      </c>
      <c r="G151" s="612">
        <v>0.28299999999999997</v>
      </c>
      <c r="H151" s="609"/>
      <c r="I151" s="161">
        <f t="shared" si="31"/>
        <v>4208.5660000000007</v>
      </c>
      <c r="J151" s="370" t="s">
        <v>2001</v>
      </c>
    </row>
    <row r="152" spans="1:10" ht="60.75" customHeight="1">
      <c r="A152" s="603">
        <v>7</v>
      </c>
      <c r="B152" s="602" t="s">
        <v>1480</v>
      </c>
      <c r="C152" s="370" t="s">
        <v>1481</v>
      </c>
      <c r="D152" s="608">
        <v>1300</v>
      </c>
      <c r="E152" s="608">
        <v>1300</v>
      </c>
      <c r="F152" s="608">
        <v>1300</v>
      </c>
      <c r="G152" s="608"/>
      <c r="H152" s="609">
        <v>12</v>
      </c>
      <c r="I152" s="161">
        <f t="shared" si="31"/>
        <v>1288</v>
      </c>
      <c r="J152" s="370" t="s">
        <v>1474</v>
      </c>
    </row>
    <row r="153" spans="1:10" ht="99.75" customHeight="1">
      <c r="A153" s="573" t="s">
        <v>587</v>
      </c>
      <c r="B153" s="574" t="s">
        <v>1401</v>
      </c>
      <c r="C153" s="370"/>
      <c r="D153" s="575">
        <f>SUM(D154,D200)</f>
        <v>125400</v>
      </c>
      <c r="E153" s="575">
        <f t="shared" ref="E153:I153" si="44">SUM(E154,E200)</f>
        <v>111645.6</v>
      </c>
      <c r="F153" s="575">
        <f t="shared" si="44"/>
        <v>113591.76349300001</v>
      </c>
      <c r="G153" s="575">
        <f t="shared" si="44"/>
        <v>746.76099999999997</v>
      </c>
      <c r="H153" s="576">
        <f t="shared" si="44"/>
        <v>1265.086</v>
      </c>
      <c r="I153" s="575">
        <f t="shared" si="44"/>
        <v>113073.43849300002</v>
      </c>
      <c r="J153" s="599">
        <v>0</v>
      </c>
    </row>
    <row r="154" spans="1:10" ht="42.75" customHeight="1">
      <c r="A154" s="573" t="s">
        <v>1482</v>
      </c>
      <c r="B154" s="574" t="s">
        <v>1405</v>
      </c>
      <c r="C154" s="370"/>
      <c r="D154" s="575">
        <f>SUM(D155,D196)</f>
        <v>66400</v>
      </c>
      <c r="E154" s="575">
        <f t="shared" ref="E154:I154" si="45">SUM(E155,E196)</f>
        <v>66400</v>
      </c>
      <c r="F154" s="575">
        <f t="shared" si="45"/>
        <v>66295.514848000006</v>
      </c>
      <c r="G154" s="575">
        <f t="shared" si="45"/>
        <v>63.832999999999998</v>
      </c>
      <c r="H154" s="576">
        <f t="shared" si="45"/>
        <v>966.178</v>
      </c>
      <c r="I154" s="575">
        <f t="shared" si="45"/>
        <v>65393.169848000012</v>
      </c>
      <c r="J154" s="370"/>
    </row>
    <row r="155" spans="1:10" ht="42.75" customHeight="1">
      <c r="A155" s="573" t="s">
        <v>1483</v>
      </c>
      <c r="B155" s="574" t="s">
        <v>1406</v>
      </c>
      <c r="C155" s="370"/>
      <c r="D155" s="575">
        <f>SUM(D156:D195)</f>
        <v>64200</v>
      </c>
      <c r="E155" s="575">
        <f t="shared" ref="E155:I155" si="46">SUM(E156:E195)</f>
        <v>64200</v>
      </c>
      <c r="F155" s="575">
        <f t="shared" si="46"/>
        <v>64095.514848000006</v>
      </c>
      <c r="G155" s="575">
        <f t="shared" si="46"/>
        <v>63.832999999999998</v>
      </c>
      <c r="H155" s="576">
        <f t="shared" si="46"/>
        <v>916.178</v>
      </c>
      <c r="I155" s="575">
        <f t="shared" si="46"/>
        <v>63243.169848000012</v>
      </c>
      <c r="J155" s="370"/>
    </row>
    <row r="156" spans="1:10" ht="60" customHeight="1">
      <c r="A156" s="604">
        <v>1</v>
      </c>
      <c r="B156" s="560" t="s">
        <v>1484</v>
      </c>
      <c r="C156" s="375" t="s">
        <v>1485</v>
      </c>
      <c r="D156" s="596">
        <v>5000</v>
      </c>
      <c r="E156" s="596">
        <v>5000</v>
      </c>
      <c r="F156" s="596">
        <v>5000</v>
      </c>
      <c r="G156" s="594"/>
      <c r="H156" s="595">
        <v>46</v>
      </c>
      <c r="I156" s="161">
        <f t="shared" si="31"/>
        <v>4954</v>
      </c>
      <c r="J156" s="370" t="s">
        <v>1474</v>
      </c>
    </row>
    <row r="157" spans="1:10" ht="60" customHeight="1">
      <c r="A157" s="604">
        <v>2</v>
      </c>
      <c r="B157" s="613" t="s">
        <v>1486</v>
      </c>
      <c r="C157" s="370" t="s">
        <v>1487</v>
      </c>
      <c r="D157" s="596">
        <v>1500</v>
      </c>
      <c r="E157" s="596">
        <v>1500</v>
      </c>
      <c r="F157" s="596">
        <v>1500</v>
      </c>
      <c r="G157" s="594"/>
      <c r="H157" s="595">
        <v>13</v>
      </c>
      <c r="I157" s="161">
        <f t="shared" si="31"/>
        <v>1487</v>
      </c>
      <c r="J157" s="370" t="s">
        <v>1488</v>
      </c>
    </row>
    <row r="158" spans="1:10" ht="59.25" customHeight="1">
      <c r="A158" s="604">
        <v>3</v>
      </c>
      <c r="B158" s="613" t="s">
        <v>1489</v>
      </c>
      <c r="C158" s="370" t="s">
        <v>1490</v>
      </c>
      <c r="D158" s="596">
        <v>2000</v>
      </c>
      <c r="E158" s="596">
        <v>2000</v>
      </c>
      <c r="F158" s="596">
        <v>2000</v>
      </c>
      <c r="G158" s="594"/>
      <c r="H158" s="595">
        <v>36</v>
      </c>
      <c r="I158" s="161">
        <f t="shared" si="31"/>
        <v>1964</v>
      </c>
      <c r="J158" s="370" t="s">
        <v>1491</v>
      </c>
    </row>
    <row r="159" spans="1:10" ht="59.25" customHeight="1">
      <c r="A159" s="604">
        <v>4</v>
      </c>
      <c r="B159" s="613" t="s">
        <v>1492</v>
      </c>
      <c r="C159" s="370" t="s">
        <v>1493</v>
      </c>
      <c r="D159" s="596">
        <v>2000</v>
      </c>
      <c r="E159" s="596">
        <v>2000</v>
      </c>
      <c r="F159" s="596">
        <v>2000</v>
      </c>
      <c r="G159" s="594"/>
      <c r="H159" s="595">
        <v>24</v>
      </c>
      <c r="I159" s="161">
        <f t="shared" si="31"/>
        <v>1976</v>
      </c>
      <c r="J159" s="370" t="s">
        <v>1494</v>
      </c>
    </row>
    <row r="160" spans="1:10" ht="59.25" customHeight="1">
      <c r="A160" s="604">
        <v>5</v>
      </c>
      <c r="B160" s="613" t="s">
        <v>1495</v>
      </c>
      <c r="C160" s="370" t="s">
        <v>1496</v>
      </c>
      <c r="D160" s="596">
        <v>2000</v>
      </c>
      <c r="E160" s="596">
        <v>2000</v>
      </c>
      <c r="F160" s="596">
        <v>2000</v>
      </c>
      <c r="G160" s="594"/>
      <c r="H160" s="595">
        <v>40</v>
      </c>
      <c r="I160" s="161">
        <f t="shared" si="31"/>
        <v>1960</v>
      </c>
      <c r="J160" s="370" t="s">
        <v>1494</v>
      </c>
    </row>
    <row r="161" spans="1:13" ht="58.5" customHeight="1">
      <c r="A161" s="604">
        <v>6</v>
      </c>
      <c r="B161" s="613" t="s">
        <v>1497</v>
      </c>
      <c r="C161" s="370" t="s">
        <v>1498</v>
      </c>
      <c r="D161" s="596">
        <v>1500</v>
      </c>
      <c r="E161" s="596">
        <v>1500</v>
      </c>
      <c r="F161" s="596">
        <v>1500</v>
      </c>
      <c r="G161" s="594"/>
      <c r="H161" s="595">
        <v>6</v>
      </c>
      <c r="I161" s="161">
        <f t="shared" si="31"/>
        <v>1494</v>
      </c>
      <c r="J161" s="370" t="s">
        <v>1494</v>
      </c>
    </row>
    <row r="162" spans="1:13" ht="58.5" customHeight="1">
      <c r="A162" s="604">
        <v>7</v>
      </c>
      <c r="B162" s="613" t="s">
        <v>1499</v>
      </c>
      <c r="C162" s="370" t="s">
        <v>1500</v>
      </c>
      <c r="D162" s="596">
        <v>1000</v>
      </c>
      <c r="E162" s="596">
        <v>1000</v>
      </c>
      <c r="F162" s="596">
        <v>998.86169799999993</v>
      </c>
      <c r="G162" s="594"/>
      <c r="H162" s="595">
        <v>25</v>
      </c>
      <c r="I162" s="161">
        <f t="shared" si="31"/>
        <v>973.86169799999993</v>
      </c>
      <c r="J162" s="370" t="s">
        <v>1494</v>
      </c>
      <c r="L162" s="320" t="s">
        <v>1978</v>
      </c>
      <c r="M162" s="320">
        <v>26</v>
      </c>
    </row>
    <row r="163" spans="1:13" ht="105" customHeight="1">
      <c r="A163" s="604">
        <v>8</v>
      </c>
      <c r="B163" s="613" t="s">
        <v>1501</v>
      </c>
      <c r="C163" s="370" t="s">
        <v>1502</v>
      </c>
      <c r="D163" s="596">
        <v>1200</v>
      </c>
      <c r="E163" s="596">
        <v>1200</v>
      </c>
      <c r="F163" s="596">
        <v>1200</v>
      </c>
      <c r="G163" s="594"/>
      <c r="H163" s="595">
        <v>31</v>
      </c>
      <c r="I163" s="161">
        <f t="shared" si="31"/>
        <v>1169</v>
      </c>
      <c r="J163" s="370" t="s">
        <v>1503</v>
      </c>
    </row>
    <row r="164" spans="1:13" ht="54.95" customHeight="1">
      <c r="A164" s="604">
        <v>9</v>
      </c>
      <c r="B164" s="614" t="s">
        <v>1504</v>
      </c>
      <c r="C164" s="370" t="s">
        <v>1505</v>
      </c>
      <c r="D164" s="596">
        <v>2000</v>
      </c>
      <c r="E164" s="596">
        <v>2000</v>
      </c>
      <c r="F164" s="596">
        <v>2000</v>
      </c>
      <c r="G164" s="594"/>
      <c r="H164" s="595">
        <v>3</v>
      </c>
      <c r="I164" s="161">
        <f t="shared" si="31"/>
        <v>1997</v>
      </c>
      <c r="J164" s="370" t="s">
        <v>1506</v>
      </c>
    </row>
    <row r="165" spans="1:13" ht="54.95" customHeight="1">
      <c r="A165" s="604">
        <v>10</v>
      </c>
      <c r="B165" s="613" t="s">
        <v>1507</v>
      </c>
      <c r="C165" s="370" t="s">
        <v>1508</v>
      </c>
      <c r="D165" s="596">
        <v>2000</v>
      </c>
      <c r="E165" s="596">
        <v>2000</v>
      </c>
      <c r="F165" s="596">
        <v>2000</v>
      </c>
      <c r="G165" s="594"/>
      <c r="H165" s="595">
        <v>46</v>
      </c>
      <c r="I165" s="161">
        <f t="shared" si="31"/>
        <v>1954</v>
      </c>
      <c r="J165" s="370" t="s">
        <v>1509</v>
      </c>
    </row>
    <row r="166" spans="1:13" ht="54.95" customHeight="1">
      <c r="A166" s="604">
        <v>11</v>
      </c>
      <c r="B166" s="613" t="s">
        <v>1510</v>
      </c>
      <c r="C166" s="370" t="s">
        <v>1511</v>
      </c>
      <c r="D166" s="596">
        <v>2000</v>
      </c>
      <c r="E166" s="596">
        <v>2000</v>
      </c>
      <c r="F166" s="596">
        <v>2000</v>
      </c>
      <c r="G166" s="594"/>
      <c r="H166" s="595">
        <v>9</v>
      </c>
      <c r="I166" s="161">
        <f t="shared" si="31"/>
        <v>1991</v>
      </c>
      <c r="J166" s="370" t="s">
        <v>1512</v>
      </c>
    </row>
    <row r="167" spans="1:13" ht="54.95" customHeight="1">
      <c r="A167" s="604">
        <v>12</v>
      </c>
      <c r="B167" s="613" t="s">
        <v>1513</v>
      </c>
      <c r="C167" s="370" t="s">
        <v>1514</v>
      </c>
      <c r="D167" s="596">
        <v>1500</v>
      </c>
      <c r="E167" s="596">
        <v>1500</v>
      </c>
      <c r="F167" s="596">
        <v>1500</v>
      </c>
      <c r="G167" s="594"/>
      <c r="H167" s="595">
        <v>75</v>
      </c>
      <c r="I167" s="161">
        <f t="shared" si="31"/>
        <v>1425</v>
      </c>
      <c r="J167" s="370" t="s">
        <v>1512</v>
      </c>
    </row>
    <row r="168" spans="1:13" ht="66" customHeight="1">
      <c r="A168" s="604">
        <v>13</v>
      </c>
      <c r="B168" s="613" t="s">
        <v>1515</v>
      </c>
      <c r="C168" s="370" t="s">
        <v>1516</v>
      </c>
      <c r="D168" s="596">
        <v>800</v>
      </c>
      <c r="E168" s="596">
        <v>800</v>
      </c>
      <c r="F168" s="596">
        <v>800</v>
      </c>
      <c r="G168" s="594"/>
      <c r="H168" s="595">
        <v>0</v>
      </c>
      <c r="I168" s="161">
        <f t="shared" si="31"/>
        <v>800</v>
      </c>
      <c r="J168" s="370" t="s">
        <v>1517</v>
      </c>
    </row>
    <row r="169" spans="1:13" ht="87.75" customHeight="1">
      <c r="A169" s="604">
        <v>14</v>
      </c>
      <c r="B169" s="613" t="s">
        <v>1518</v>
      </c>
      <c r="C169" s="370" t="s">
        <v>1519</v>
      </c>
      <c r="D169" s="596">
        <v>1200</v>
      </c>
      <c r="E169" s="596">
        <v>1200</v>
      </c>
      <c r="F169" s="596">
        <v>1151.4000000000001</v>
      </c>
      <c r="G169" s="595">
        <v>45.021999999999998</v>
      </c>
      <c r="H169" s="595"/>
      <c r="I169" s="161">
        <f t="shared" si="31"/>
        <v>1196.422</v>
      </c>
      <c r="J169" s="370" t="s">
        <v>1520</v>
      </c>
    </row>
    <row r="170" spans="1:13" ht="59.25" customHeight="1">
      <c r="A170" s="604">
        <v>15</v>
      </c>
      <c r="B170" s="613" t="s">
        <v>1521</v>
      </c>
      <c r="C170" s="370" t="s">
        <v>1522</v>
      </c>
      <c r="D170" s="596">
        <v>1000</v>
      </c>
      <c r="E170" s="596">
        <v>1000</v>
      </c>
      <c r="F170" s="596">
        <v>1000</v>
      </c>
      <c r="G170" s="595"/>
      <c r="H170" s="595">
        <v>1</v>
      </c>
      <c r="I170" s="161">
        <f t="shared" si="31"/>
        <v>999</v>
      </c>
      <c r="J170" s="370" t="s">
        <v>1474</v>
      </c>
    </row>
    <row r="171" spans="1:13" ht="59.25" customHeight="1">
      <c r="A171" s="604">
        <v>16</v>
      </c>
      <c r="B171" s="613" t="s">
        <v>1523</v>
      </c>
      <c r="C171" s="370" t="s">
        <v>1524</v>
      </c>
      <c r="D171" s="596">
        <v>1000</v>
      </c>
      <c r="E171" s="596">
        <v>1000</v>
      </c>
      <c r="F171" s="596">
        <v>1000</v>
      </c>
      <c r="G171" s="595"/>
      <c r="H171" s="615">
        <v>0.40899999999999997</v>
      </c>
      <c r="I171" s="540">
        <f t="shared" si="31"/>
        <v>999.59100000000001</v>
      </c>
      <c r="J171" s="370" t="s">
        <v>1488</v>
      </c>
    </row>
    <row r="172" spans="1:13" ht="62.25" customHeight="1">
      <c r="A172" s="604">
        <v>17</v>
      </c>
      <c r="B172" s="613" t="s">
        <v>1525</v>
      </c>
      <c r="C172" s="370" t="s">
        <v>1526</v>
      </c>
      <c r="D172" s="596">
        <v>1300</v>
      </c>
      <c r="E172" s="596">
        <v>1300</v>
      </c>
      <c r="F172" s="596">
        <v>1293.923806</v>
      </c>
      <c r="G172" s="595">
        <v>4.9420000000000002</v>
      </c>
      <c r="H172" s="595"/>
      <c r="I172" s="161">
        <f t="shared" si="31"/>
        <v>1298.865806</v>
      </c>
      <c r="J172" s="370" t="s">
        <v>1491</v>
      </c>
    </row>
    <row r="173" spans="1:13" ht="62.25" customHeight="1">
      <c r="A173" s="604">
        <v>18</v>
      </c>
      <c r="B173" s="613" t="s">
        <v>1527</v>
      </c>
      <c r="C173" s="370" t="s">
        <v>1528</v>
      </c>
      <c r="D173" s="596">
        <v>1300</v>
      </c>
      <c r="E173" s="596">
        <v>1300</v>
      </c>
      <c r="F173" s="596">
        <v>1300.3</v>
      </c>
      <c r="G173" s="595"/>
      <c r="H173" s="615">
        <v>0.307</v>
      </c>
      <c r="I173" s="540">
        <f t="shared" si="31"/>
        <v>1299.9929999999999</v>
      </c>
      <c r="J173" s="370" t="s">
        <v>1494</v>
      </c>
    </row>
    <row r="174" spans="1:13" ht="92.25" customHeight="1">
      <c r="A174" s="604">
        <v>19</v>
      </c>
      <c r="B174" s="613" t="s">
        <v>1529</v>
      </c>
      <c r="C174" s="370" t="s">
        <v>1530</v>
      </c>
      <c r="D174" s="596">
        <v>1000</v>
      </c>
      <c r="E174" s="596">
        <v>1000</v>
      </c>
      <c r="F174" s="596">
        <v>993.30208900000002</v>
      </c>
      <c r="G174" s="595">
        <v>4.96</v>
      </c>
      <c r="H174" s="595"/>
      <c r="I174" s="161">
        <f t="shared" ref="I174:I235" si="47">F174+G174-H174</f>
        <v>998.26208900000006</v>
      </c>
      <c r="J174" s="370" t="s">
        <v>2002</v>
      </c>
    </row>
    <row r="175" spans="1:13" ht="81" customHeight="1">
      <c r="A175" s="604">
        <v>20</v>
      </c>
      <c r="B175" s="613" t="s">
        <v>1531</v>
      </c>
      <c r="C175" s="370" t="s">
        <v>1532</v>
      </c>
      <c r="D175" s="596">
        <v>1000</v>
      </c>
      <c r="E175" s="596">
        <v>1000</v>
      </c>
      <c r="F175" s="596">
        <v>991.013329</v>
      </c>
      <c r="G175" s="595">
        <v>7.6319999999999997</v>
      </c>
      <c r="H175" s="595"/>
      <c r="I175" s="161">
        <f t="shared" si="47"/>
        <v>998.64532899999995</v>
      </c>
      <c r="J175" s="370" t="s">
        <v>2002</v>
      </c>
    </row>
    <row r="176" spans="1:13" ht="64.5" customHeight="1">
      <c r="A176" s="604">
        <v>21</v>
      </c>
      <c r="B176" s="613" t="s">
        <v>1533</v>
      </c>
      <c r="C176" s="370" t="s">
        <v>1534</v>
      </c>
      <c r="D176" s="596">
        <v>3000</v>
      </c>
      <c r="E176" s="596">
        <v>3000</v>
      </c>
      <c r="F176" s="596">
        <v>3000</v>
      </c>
      <c r="G176" s="595"/>
      <c r="H176" s="595">
        <v>18</v>
      </c>
      <c r="I176" s="161">
        <f t="shared" si="47"/>
        <v>2982</v>
      </c>
      <c r="J176" s="370" t="s">
        <v>1474</v>
      </c>
    </row>
    <row r="177" spans="1:10" ht="56.25" customHeight="1">
      <c r="A177" s="604">
        <v>22</v>
      </c>
      <c r="B177" s="613" t="s">
        <v>1535</v>
      </c>
      <c r="C177" s="370" t="s">
        <v>1536</v>
      </c>
      <c r="D177" s="596">
        <v>2000</v>
      </c>
      <c r="E177" s="596">
        <v>2000</v>
      </c>
      <c r="F177" s="596">
        <v>2000</v>
      </c>
      <c r="G177" s="595"/>
      <c r="H177" s="595">
        <v>40</v>
      </c>
      <c r="I177" s="161">
        <f t="shared" si="47"/>
        <v>1960</v>
      </c>
      <c r="J177" s="370" t="s">
        <v>1474</v>
      </c>
    </row>
    <row r="178" spans="1:10" ht="56.25" customHeight="1">
      <c r="A178" s="604">
        <v>23</v>
      </c>
      <c r="B178" s="613" t="s">
        <v>1537</v>
      </c>
      <c r="C178" s="370" t="s">
        <v>1538</v>
      </c>
      <c r="D178" s="596">
        <v>2400</v>
      </c>
      <c r="E178" s="596">
        <v>2400</v>
      </c>
      <c r="F178" s="596">
        <v>2400</v>
      </c>
      <c r="G178" s="595"/>
      <c r="H178" s="595">
        <v>89</v>
      </c>
      <c r="I178" s="161">
        <f t="shared" si="47"/>
        <v>2311</v>
      </c>
      <c r="J178" s="370" t="s">
        <v>1474</v>
      </c>
    </row>
    <row r="179" spans="1:10" ht="56.25" customHeight="1">
      <c r="A179" s="604">
        <v>24</v>
      </c>
      <c r="B179" s="613" t="s">
        <v>1539</v>
      </c>
      <c r="C179" s="370" t="s">
        <v>1540</v>
      </c>
      <c r="D179" s="596">
        <v>1200</v>
      </c>
      <c r="E179" s="596">
        <v>1200</v>
      </c>
      <c r="F179" s="596">
        <v>1200</v>
      </c>
      <c r="G179" s="595"/>
      <c r="H179" s="595">
        <v>17</v>
      </c>
      <c r="I179" s="161">
        <f t="shared" si="47"/>
        <v>1183</v>
      </c>
      <c r="J179" s="370" t="s">
        <v>1488</v>
      </c>
    </row>
    <row r="180" spans="1:10" ht="56.25" customHeight="1">
      <c r="A180" s="604">
        <v>25</v>
      </c>
      <c r="B180" s="613" t="s">
        <v>1541</v>
      </c>
      <c r="C180" s="370" t="s">
        <v>1542</v>
      </c>
      <c r="D180" s="596">
        <v>1000</v>
      </c>
      <c r="E180" s="596">
        <v>1000</v>
      </c>
      <c r="F180" s="596">
        <v>994.34448199999997</v>
      </c>
      <c r="G180" s="595"/>
      <c r="H180" s="595">
        <v>13</v>
      </c>
      <c r="I180" s="161">
        <f t="shared" si="47"/>
        <v>981.34448199999997</v>
      </c>
      <c r="J180" s="370" t="s">
        <v>1491</v>
      </c>
    </row>
    <row r="181" spans="1:10" ht="72.75" customHeight="1">
      <c r="A181" s="604">
        <v>26</v>
      </c>
      <c r="B181" s="613" t="s">
        <v>1543</v>
      </c>
      <c r="C181" s="370" t="s">
        <v>1544</v>
      </c>
      <c r="D181" s="596">
        <v>1200</v>
      </c>
      <c r="E181" s="596">
        <v>1200</v>
      </c>
      <c r="F181" s="596">
        <v>1200</v>
      </c>
      <c r="G181" s="595"/>
      <c r="H181" s="595">
        <v>21</v>
      </c>
      <c r="I181" s="161">
        <f t="shared" si="47"/>
        <v>1179</v>
      </c>
      <c r="J181" s="370" t="s">
        <v>1494</v>
      </c>
    </row>
    <row r="182" spans="1:10" ht="60.75" customHeight="1">
      <c r="A182" s="604">
        <v>27</v>
      </c>
      <c r="B182" s="613" t="s">
        <v>1545</v>
      </c>
      <c r="C182" s="370" t="s">
        <v>1546</v>
      </c>
      <c r="D182" s="596">
        <v>1200</v>
      </c>
      <c r="E182" s="596">
        <v>1200</v>
      </c>
      <c r="F182" s="596">
        <v>1200</v>
      </c>
      <c r="G182" s="595"/>
      <c r="H182" s="595">
        <v>9</v>
      </c>
      <c r="I182" s="161">
        <f t="shared" si="47"/>
        <v>1191</v>
      </c>
      <c r="J182" s="370" t="s">
        <v>1503</v>
      </c>
    </row>
    <row r="183" spans="1:10" ht="63" customHeight="1">
      <c r="A183" s="604">
        <v>28</v>
      </c>
      <c r="B183" s="613" t="s">
        <v>1547</v>
      </c>
      <c r="C183" s="370" t="s">
        <v>1548</v>
      </c>
      <c r="D183" s="596">
        <v>1200</v>
      </c>
      <c r="E183" s="596">
        <v>1200</v>
      </c>
      <c r="F183" s="596">
        <v>1200</v>
      </c>
      <c r="G183" s="595"/>
      <c r="H183" s="595">
        <v>27</v>
      </c>
      <c r="I183" s="161">
        <f t="shared" si="47"/>
        <v>1173</v>
      </c>
      <c r="J183" s="370" t="s">
        <v>1506</v>
      </c>
    </row>
    <row r="184" spans="1:10" ht="64.5" customHeight="1">
      <c r="A184" s="604">
        <v>29</v>
      </c>
      <c r="B184" s="613" t="s">
        <v>1549</v>
      </c>
      <c r="C184" s="370" t="s">
        <v>1550</v>
      </c>
      <c r="D184" s="596">
        <v>1500</v>
      </c>
      <c r="E184" s="596">
        <v>1500</v>
      </c>
      <c r="F184" s="596">
        <v>1500</v>
      </c>
      <c r="G184" s="595"/>
      <c r="H184" s="595">
        <v>65</v>
      </c>
      <c r="I184" s="161">
        <f t="shared" si="47"/>
        <v>1435</v>
      </c>
      <c r="J184" s="370" t="s">
        <v>1509</v>
      </c>
    </row>
    <row r="185" spans="1:10" ht="46.15" customHeight="1">
      <c r="A185" s="604">
        <v>30</v>
      </c>
      <c r="B185" s="613" t="s">
        <v>1551</v>
      </c>
      <c r="C185" s="370" t="s">
        <v>1552</v>
      </c>
      <c r="D185" s="596">
        <v>1000</v>
      </c>
      <c r="E185" s="596">
        <v>1000</v>
      </c>
      <c r="F185" s="596">
        <v>996.92495299999996</v>
      </c>
      <c r="G185" s="595">
        <v>1.2769999999999999</v>
      </c>
      <c r="H185" s="595"/>
      <c r="I185" s="161">
        <f t="shared" si="47"/>
        <v>998.201953</v>
      </c>
      <c r="J185" s="370"/>
    </row>
    <row r="186" spans="1:10" ht="59.25" customHeight="1">
      <c r="A186" s="604">
        <v>31</v>
      </c>
      <c r="B186" s="613" t="s">
        <v>1553</v>
      </c>
      <c r="C186" s="370" t="s">
        <v>1554</v>
      </c>
      <c r="D186" s="596">
        <v>1300</v>
      </c>
      <c r="E186" s="596">
        <v>1300</v>
      </c>
      <c r="F186" s="596">
        <v>1287.8681750000001</v>
      </c>
      <c r="G186" s="594"/>
      <c r="H186" s="595">
        <v>34</v>
      </c>
      <c r="I186" s="161">
        <f t="shared" si="47"/>
        <v>1253.8681750000001</v>
      </c>
      <c r="J186" s="370" t="s">
        <v>1509</v>
      </c>
    </row>
    <row r="187" spans="1:10" ht="59.25" customHeight="1">
      <c r="A187" s="604">
        <v>32</v>
      </c>
      <c r="B187" s="613" t="s">
        <v>1555</v>
      </c>
      <c r="C187" s="370" t="s">
        <v>1556</v>
      </c>
      <c r="D187" s="596">
        <v>1300</v>
      </c>
      <c r="E187" s="596">
        <v>1300</v>
      </c>
      <c r="F187" s="596">
        <v>1300</v>
      </c>
      <c r="G187" s="594"/>
      <c r="H187" s="595">
        <v>5</v>
      </c>
      <c r="I187" s="161">
        <f t="shared" si="47"/>
        <v>1295</v>
      </c>
      <c r="J187" s="370" t="s">
        <v>1509</v>
      </c>
    </row>
    <row r="188" spans="1:10" ht="66.75" customHeight="1">
      <c r="A188" s="604">
        <v>33</v>
      </c>
      <c r="B188" s="614" t="s">
        <v>1557</v>
      </c>
      <c r="C188" s="370" t="s">
        <v>1558</v>
      </c>
      <c r="D188" s="596">
        <v>2500</v>
      </c>
      <c r="E188" s="596">
        <v>2500</v>
      </c>
      <c r="F188" s="596">
        <v>2500</v>
      </c>
      <c r="G188" s="594"/>
      <c r="H188" s="595">
        <v>156</v>
      </c>
      <c r="I188" s="161">
        <f t="shared" si="47"/>
        <v>2344</v>
      </c>
      <c r="J188" s="370" t="s">
        <v>1512</v>
      </c>
    </row>
    <row r="189" spans="1:10" ht="66.75" customHeight="1">
      <c r="A189" s="604">
        <v>34</v>
      </c>
      <c r="B189" s="614" t="s">
        <v>1559</v>
      </c>
      <c r="C189" s="370" t="s">
        <v>1560</v>
      </c>
      <c r="D189" s="596">
        <v>2000</v>
      </c>
      <c r="E189" s="596">
        <v>2000</v>
      </c>
      <c r="F189" s="596">
        <v>2000</v>
      </c>
      <c r="G189" s="594"/>
      <c r="H189" s="615">
        <v>5.0999999999999997E-2</v>
      </c>
      <c r="I189" s="540">
        <f t="shared" si="47"/>
        <v>1999.9490000000001</v>
      </c>
      <c r="J189" s="370" t="s">
        <v>1517</v>
      </c>
    </row>
    <row r="190" spans="1:10" ht="56.25" customHeight="1">
      <c r="A190" s="604">
        <v>35</v>
      </c>
      <c r="B190" s="614" t="s">
        <v>1561</v>
      </c>
      <c r="C190" s="370" t="s">
        <v>1562</v>
      </c>
      <c r="D190" s="596">
        <v>3000</v>
      </c>
      <c r="E190" s="596">
        <v>3000</v>
      </c>
      <c r="F190" s="596">
        <v>3000</v>
      </c>
      <c r="G190" s="594"/>
      <c r="H190" s="595">
        <v>10.986000000000001</v>
      </c>
      <c r="I190" s="161">
        <f t="shared" si="47"/>
        <v>2989.0140000000001</v>
      </c>
      <c r="J190" s="370" t="s">
        <v>1563</v>
      </c>
    </row>
    <row r="191" spans="1:10" ht="56.25" customHeight="1">
      <c r="A191" s="604">
        <v>36</v>
      </c>
      <c r="B191" s="614" t="s">
        <v>1564</v>
      </c>
      <c r="C191" s="370" t="s">
        <v>1565</v>
      </c>
      <c r="D191" s="596">
        <v>1500</v>
      </c>
      <c r="E191" s="596">
        <v>1500</v>
      </c>
      <c r="F191" s="596">
        <v>1500</v>
      </c>
      <c r="G191" s="594"/>
      <c r="H191" s="595">
        <v>1.0580000000000001</v>
      </c>
      <c r="I191" s="161">
        <f t="shared" si="47"/>
        <v>1498.942</v>
      </c>
      <c r="J191" s="370" t="s">
        <v>1563</v>
      </c>
    </row>
    <row r="192" spans="1:10" ht="52.5" customHeight="1">
      <c r="A192" s="604">
        <v>37</v>
      </c>
      <c r="B192" s="614" t="s">
        <v>1566</v>
      </c>
      <c r="C192" s="370" t="s">
        <v>1567</v>
      </c>
      <c r="D192" s="596">
        <v>1300</v>
      </c>
      <c r="E192" s="596">
        <v>1300</v>
      </c>
      <c r="F192" s="596">
        <v>1300</v>
      </c>
      <c r="G192" s="594"/>
      <c r="H192" s="595">
        <v>3</v>
      </c>
      <c r="I192" s="161">
        <f t="shared" si="47"/>
        <v>1297</v>
      </c>
      <c r="J192" s="370" t="s">
        <v>1568</v>
      </c>
    </row>
    <row r="193" spans="1:10" ht="58.5" customHeight="1">
      <c r="A193" s="604">
        <v>38</v>
      </c>
      <c r="B193" s="614" t="s">
        <v>1569</v>
      </c>
      <c r="C193" s="370" t="s">
        <v>1570</v>
      </c>
      <c r="D193" s="596">
        <v>1300</v>
      </c>
      <c r="E193" s="596">
        <v>1300</v>
      </c>
      <c r="F193" s="596">
        <v>1300</v>
      </c>
      <c r="G193" s="594"/>
      <c r="H193" s="595">
        <v>19</v>
      </c>
      <c r="I193" s="161">
        <f t="shared" si="47"/>
        <v>1281</v>
      </c>
      <c r="J193" s="370" t="s">
        <v>1571</v>
      </c>
    </row>
    <row r="194" spans="1:10" ht="56.25" customHeight="1">
      <c r="A194" s="604">
        <v>39</v>
      </c>
      <c r="B194" s="614" t="s">
        <v>1572</v>
      </c>
      <c r="C194" s="370" t="s">
        <v>1573</v>
      </c>
      <c r="D194" s="596">
        <v>1000</v>
      </c>
      <c r="E194" s="596">
        <v>1000</v>
      </c>
      <c r="F194" s="596">
        <v>987.57631600000002</v>
      </c>
      <c r="G194" s="594"/>
      <c r="H194" s="595">
        <v>26</v>
      </c>
      <c r="I194" s="161">
        <f t="shared" si="47"/>
        <v>961.57631600000002</v>
      </c>
      <c r="J194" s="370" t="s">
        <v>1574</v>
      </c>
    </row>
    <row r="195" spans="1:10" ht="64.5" customHeight="1">
      <c r="A195" s="604">
        <v>40</v>
      </c>
      <c r="B195" s="614" t="s">
        <v>1575</v>
      </c>
      <c r="C195" s="370" t="s">
        <v>1576</v>
      </c>
      <c r="D195" s="596">
        <v>1000</v>
      </c>
      <c r="E195" s="596">
        <v>1000</v>
      </c>
      <c r="F195" s="596">
        <v>1000</v>
      </c>
      <c r="G195" s="594"/>
      <c r="H195" s="595">
        <v>6.367</v>
      </c>
      <c r="I195" s="161">
        <f t="shared" si="47"/>
        <v>993.63300000000004</v>
      </c>
      <c r="J195" s="370" t="s">
        <v>1577</v>
      </c>
    </row>
    <row r="196" spans="1:10">
      <c r="A196" s="573" t="s">
        <v>1578</v>
      </c>
      <c r="B196" s="574" t="s">
        <v>1438</v>
      </c>
      <c r="C196" s="370"/>
      <c r="D196" s="575">
        <f>SUM(D197:D199)</f>
        <v>2200</v>
      </c>
      <c r="E196" s="575">
        <f t="shared" ref="E196:I196" si="48">SUM(E197:E199)</f>
        <v>2200</v>
      </c>
      <c r="F196" s="575">
        <f t="shared" si="48"/>
        <v>2200</v>
      </c>
      <c r="G196" s="575">
        <f t="shared" si="48"/>
        <v>0</v>
      </c>
      <c r="H196" s="576">
        <f t="shared" si="48"/>
        <v>50</v>
      </c>
      <c r="I196" s="575">
        <f t="shared" si="48"/>
        <v>2150</v>
      </c>
      <c r="J196" s="599">
        <v>0</v>
      </c>
    </row>
    <row r="197" spans="1:10" ht="60" customHeight="1">
      <c r="A197" s="600" t="s">
        <v>144</v>
      </c>
      <c r="B197" s="614" t="s">
        <v>1579</v>
      </c>
      <c r="C197" s="370" t="s">
        <v>1580</v>
      </c>
      <c r="D197" s="596">
        <v>500</v>
      </c>
      <c r="E197" s="596">
        <v>500</v>
      </c>
      <c r="F197" s="596">
        <v>500</v>
      </c>
      <c r="G197" s="594"/>
      <c r="H197" s="595"/>
      <c r="I197" s="161">
        <f t="shared" si="47"/>
        <v>500</v>
      </c>
      <c r="J197" s="370" t="s">
        <v>1577</v>
      </c>
    </row>
    <row r="198" spans="1:10" ht="60" customHeight="1">
      <c r="A198" s="600" t="s">
        <v>547</v>
      </c>
      <c r="B198" s="614" t="s">
        <v>1581</v>
      </c>
      <c r="C198" s="370" t="s">
        <v>1582</v>
      </c>
      <c r="D198" s="596">
        <v>1000</v>
      </c>
      <c r="E198" s="596">
        <v>1000</v>
      </c>
      <c r="F198" s="596">
        <v>1000</v>
      </c>
      <c r="G198" s="594"/>
      <c r="H198" s="595">
        <v>50</v>
      </c>
      <c r="I198" s="161">
        <f t="shared" si="47"/>
        <v>950</v>
      </c>
      <c r="J198" s="370" t="s">
        <v>1577</v>
      </c>
    </row>
    <row r="199" spans="1:10" ht="63.75" customHeight="1">
      <c r="A199" s="600" t="s">
        <v>214</v>
      </c>
      <c r="B199" s="614" t="s">
        <v>1583</v>
      </c>
      <c r="C199" s="370" t="s">
        <v>1584</v>
      </c>
      <c r="D199" s="596">
        <v>700</v>
      </c>
      <c r="E199" s="596">
        <v>700</v>
      </c>
      <c r="F199" s="596">
        <v>700</v>
      </c>
      <c r="G199" s="594"/>
      <c r="H199" s="595"/>
      <c r="I199" s="161">
        <f t="shared" si="47"/>
        <v>700</v>
      </c>
      <c r="J199" s="370"/>
    </row>
    <row r="200" spans="1:10" ht="27">
      <c r="A200" s="573" t="s">
        <v>1585</v>
      </c>
      <c r="B200" s="574" t="s">
        <v>1445</v>
      </c>
      <c r="C200" s="370"/>
      <c r="D200" s="588">
        <f>SUM(D201:D205)</f>
        <v>59000</v>
      </c>
      <c r="E200" s="588">
        <f t="shared" ref="E200:I200" si="49">SUM(E201:E205)</f>
        <v>45245.600000000006</v>
      </c>
      <c r="F200" s="588">
        <f t="shared" si="49"/>
        <v>47296.248645</v>
      </c>
      <c r="G200" s="588">
        <f t="shared" si="49"/>
        <v>682.928</v>
      </c>
      <c r="H200" s="589">
        <f t="shared" si="49"/>
        <v>298.90800000000002</v>
      </c>
      <c r="I200" s="588">
        <f t="shared" si="49"/>
        <v>47680.268645000004</v>
      </c>
      <c r="J200" s="370"/>
    </row>
    <row r="201" spans="1:10" ht="67.5" customHeight="1">
      <c r="A201" s="604">
        <v>1</v>
      </c>
      <c r="B201" s="614" t="s">
        <v>1586</v>
      </c>
      <c r="C201" s="375" t="s">
        <v>1587</v>
      </c>
      <c r="D201" s="596">
        <v>14000</v>
      </c>
      <c r="E201" s="596">
        <v>8051.2</v>
      </c>
      <c r="F201" s="596">
        <v>8027.8283649999994</v>
      </c>
      <c r="G201" s="596"/>
      <c r="H201" s="606">
        <v>1.6279999999999999</v>
      </c>
      <c r="I201" s="161">
        <f t="shared" si="47"/>
        <v>8026.2003649999997</v>
      </c>
      <c r="J201" s="370" t="s">
        <v>1474</v>
      </c>
    </row>
    <row r="202" spans="1:10" ht="133.5" customHeight="1">
      <c r="A202" s="604">
        <v>1</v>
      </c>
      <c r="B202" s="614" t="s">
        <v>1588</v>
      </c>
      <c r="C202" s="370" t="s">
        <v>1589</v>
      </c>
      <c r="D202" s="596">
        <v>20000</v>
      </c>
      <c r="E202" s="596">
        <v>16594.400000000001</v>
      </c>
      <c r="F202" s="596">
        <v>18722.163367000001</v>
      </c>
      <c r="G202" s="596">
        <v>682.928</v>
      </c>
      <c r="H202" s="606"/>
      <c r="I202" s="161">
        <f t="shared" si="47"/>
        <v>19405.091367000001</v>
      </c>
      <c r="J202" s="370" t="s">
        <v>1590</v>
      </c>
    </row>
    <row r="203" spans="1:10" ht="66.75" customHeight="1">
      <c r="A203" s="604">
        <v>2</v>
      </c>
      <c r="B203" s="614" t="s">
        <v>1591</v>
      </c>
      <c r="C203" s="375" t="s">
        <v>1592</v>
      </c>
      <c r="D203" s="596">
        <v>5000</v>
      </c>
      <c r="E203" s="596">
        <v>5000</v>
      </c>
      <c r="F203" s="596">
        <v>4970.3330970000006</v>
      </c>
      <c r="G203" s="596"/>
      <c r="H203" s="606">
        <v>38.28</v>
      </c>
      <c r="I203" s="161">
        <f t="shared" si="47"/>
        <v>4932.0530970000009</v>
      </c>
      <c r="J203" s="370" t="s">
        <v>1474</v>
      </c>
    </row>
    <row r="204" spans="1:10" ht="87.75" customHeight="1">
      <c r="A204" s="604">
        <v>3</v>
      </c>
      <c r="B204" s="614" t="s">
        <v>1593</v>
      </c>
      <c r="C204" s="375" t="s">
        <v>1594</v>
      </c>
      <c r="D204" s="596">
        <v>10000</v>
      </c>
      <c r="E204" s="596">
        <v>5600</v>
      </c>
      <c r="F204" s="596">
        <v>5584.7176499999996</v>
      </c>
      <c r="G204" s="596"/>
      <c r="H204" s="606">
        <v>9</v>
      </c>
      <c r="I204" s="161">
        <f t="shared" si="47"/>
        <v>5575.7176499999996</v>
      </c>
      <c r="J204" s="370" t="s">
        <v>1474</v>
      </c>
    </row>
    <row r="205" spans="1:10" ht="66" customHeight="1">
      <c r="A205" s="604">
        <v>4</v>
      </c>
      <c r="B205" s="614" t="s">
        <v>1595</v>
      </c>
      <c r="C205" s="375" t="s">
        <v>1596</v>
      </c>
      <c r="D205" s="596">
        <v>10000</v>
      </c>
      <c r="E205" s="596">
        <v>10000</v>
      </c>
      <c r="F205" s="596">
        <v>9991.2061659999999</v>
      </c>
      <c r="G205" s="596"/>
      <c r="H205" s="606">
        <v>250</v>
      </c>
      <c r="I205" s="161">
        <f t="shared" si="47"/>
        <v>9741.2061659999999</v>
      </c>
      <c r="J205" s="370" t="s">
        <v>1488</v>
      </c>
    </row>
    <row r="206" spans="1:10" ht="61.5" customHeight="1">
      <c r="A206" s="573" t="s">
        <v>587</v>
      </c>
      <c r="B206" s="574" t="s">
        <v>1451</v>
      </c>
      <c r="C206" s="370"/>
      <c r="D206" s="575">
        <f t="shared" ref="D206:I206" si="50">SUM(D207:D214)</f>
        <v>25437</v>
      </c>
      <c r="E206" s="575">
        <f t="shared" si="50"/>
        <v>25437</v>
      </c>
      <c r="F206" s="575">
        <f t="shared" si="50"/>
        <v>25387.844108000001</v>
      </c>
      <c r="G206" s="575">
        <f t="shared" si="50"/>
        <v>0</v>
      </c>
      <c r="H206" s="576">
        <f t="shared" si="50"/>
        <v>144.50199999999998</v>
      </c>
      <c r="I206" s="575">
        <f t="shared" si="50"/>
        <v>25243.342108000001</v>
      </c>
      <c r="J206" s="599">
        <v>0</v>
      </c>
    </row>
    <row r="207" spans="1:10" ht="63.75" customHeight="1">
      <c r="A207" s="604">
        <v>1</v>
      </c>
      <c r="B207" s="616" t="s">
        <v>1597</v>
      </c>
      <c r="C207" s="370" t="s">
        <v>1598</v>
      </c>
      <c r="D207" s="596">
        <v>11930</v>
      </c>
      <c r="E207" s="596">
        <v>11930</v>
      </c>
      <c r="F207" s="596">
        <v>11930</v>
      </c>
      <c r="G207" s="596"/>
      <c r="H207" s="606">
        <v>34.387999999999998</v>
      </c>
      <c r="I207" s="161">
        <f t="shared" si="47"/>
        <v>11895.611999999999</v>
      </c>
      <c r="J207" s="370" t="s">
        <v>1488</v>
      </c>
    </row>
    <row r="208" spans="1:10" ht="57" customHeight="1">
      <c r="A208" s="617">
        <v>1</v>
      </c>
      <c r="B208" s="586" t="s">
        <v>1795</v>
      </c>
      <c r="C208" s="333" t="s">
        <v>1794</v>
      </c>
      <c r="D208" s="618">
        <v>2800</v>
      </c>
      <c r="E208" s="618">
        <v>2800</v>
      </c>
      <c r="F208" s="618">
        <v>2800</v>
      </c>
      <c r="G208" s="596"/>
      <c r="H208" s="619">
        <v>24.021999999999998</v>
      </c>
      <c r="I208" s="161">
        <f t="shared" si="47"/>
        <v>2775.9780000000001</v>
      </c>
      <c r="J208" s="620" t="s">
        <v>1719</v>
      </c>
    </row>
    <row r="209" spans="1:10" ht="60" customHeight="1">
      <c r="A209" s="604">
        <v>3</v>
      </c>
      <c r="B209" s="614" t="s">
        <v>1599</v>
      </c>
      <c r="C209" s="370" t="s">
        <v>1600</v>
      </c>
      <c r="D209" s="596">
        <v>1100</v>
      </c>
      <c r="E209" s="596">
        <v>1100</v>
      </c>
      <c r="F209" s="596">
        <v>1094.267108</v>
      </c>
      <c r="G209" s="596"/>
      <c r="H209" s="619">
        <v>28.094999999999999</v>
      </c>
      <c r="I209" s="161">
        <f t="shared" si="47"/>
        <v>1066.172108</v>
      </c>
      <c r="J209" s="370" t="s">
        <v>1488</v>
      </c>
    </row>
    <row r="210" spans="1:10" ht="63" customHeight="1">
      <c r="A210" s="604">
        <v>1</v>
      </c>
      <c r="B210" s="614" t="s">
        <v>1601</v>
      </c>
      <c r="C210" s="370" t="s">
        <v>1602</v>
      </c>
      <c r="D210" s="596">
        <v>1607</v>
      </c>
      <c r="E210" s="596">
        <v>1607</v>
      </c>
      <c r="F210" s="596">
        <v>1607</v>
      </c>
      <c r="G210" s="596"/>
      <c r="H210" s="619">
        <v>42.23</v>
      </c>
      <c r="I210" s="161">
        <f t="shared" si="47"/>
        <v>1564.77</v>
      </c>
      <c r="J210" s="370" t="s">
        <v>1491</v>
      </c>
    </row>
    <row r="211" spans="1:10" ht="62.25" customHeight="1">
      <c r="A211" s="604">
        <v>2</v>
      </c>
      <c r="B211" s="614" t="s">
        <v>1603</v>
      </c>
      <c r="C211" s="370" t="s">
        <v>1604</v>
      </c>
      <c r="D211" s="596">
        <v>5500</v>
      </c>
      <c r="E211" s="596">
        <v>5500</v>
      </c>
      <c r="F211" s="596">
        <v>5500</v>
      </c>
      <c r="G211" s="596"/>
      <c r="H211" s="619">
        <v>11.362</v>
      </c>
      <c r="I211" s="161">
        <f t="shared" si="47"/>
        <v>5488.6379999999999</v>
      </c>
      <c r="J211" s="370" t="s">
        <v>1494</v>
      </c>
    </row>
    <row r="212" spans="1:10" ht="60.75" customHeight="1">
      <c r="A212" s="604">
        <v>3</v>
      </c>
      <c r="B212" s="614" t="s">
        <v>1605</v>
      </c>
      <c r="C212" s="370" t="s">
        <v>1606</v>
      </c>
      <c r="D212" s="596">
        <v>1500</v>
      </c>
      <c r="E212" s="596">
        <v>1500</v>
      </c>
      <c r="F212" s="596">
        <v>1500</v>
      </c>
      <c r="G212" s="596"/>
      <c r="H212" s="619">
        <v>4.4050000000000002</v>
      </c>
      <c r="I212" s="161">
        <f t="shared" si="47"/>
        <v>1495.595</v>
      </c>
      <c r="J212" s="370" t="s">
        <v>1503</v>
      </c>
    </row>
    <row r="213" spans="1:10" ht="62.25" customHeight="1">
      <c r="A213" s="604">
        <v>4</v>
      </c>
      <c r="B213" s="614" t="s">
        <v>1607</v>
      </c>
      <c r="C213" s="370" t="s">
        <v>1608</v>
      </c>
      <c r="D213" s="596">
        <v>500</v>
      </c>
      <c r="E213" s="596">
        <v>500</v>
      </c>
      <c r="F213" s="596">
        <v>474.92700000000002</v>
      </c>
      <c r="G213" s="596"/>
      <c r="H213" s="606"/>
      <c r="I213" s="161">
        <f t="shared" si="47"/>
        <v>474.92700000000002</v>
      </c>
      <c r="J213" s="370" t="s">
        <v>1506</v>
      </c>
    </row>
    <row r="214" spans="1:10" ht="69" customHeight="1">
      <c r="A214" s="604">
        <v>7</v>
      </c>
      <c r="B214" s="614" t="s">
        <v>1609</v>
      </c>
      <c r="C214" s="370" t="s">
        <v>1610</v>
      </c>
      <c r="D214" s="596">
        <v>500</v>
      </c>
      <c r="E214" s="596">
        <v>500</v>
      </c>
      <c r="F214" s="596">
        <v>481.65</v>
      </c>
      <c r="G214" s="596"/>
      <c r="H214" s="606"/>
      <c r="I214" s="161">
        <f t="shared" si="47"/>
        <v>481.65</v>
      </c>
      <c r="J214" s="370" t="s">
        <v>1506</v>
      </c>
    </row>
    <row r="215" spans="1:10" ht="32.65" customHeight="1">
      <c r="A215" s="610" t="s">
        <v>1624</v>
      </c>
      <c r="B215" s="621" t="s">
        <v>1612</v>
      </c>
      <c r="C215" s="370"/>
      <c r="D215" s="575">
        <f>SUM(D216,D220,D226)</f>
        <v>22350</v>
      </c>
      <c r="E215" s="575">
        <f t="shared" ref="E215:I215" si="51">SUM(E216,E220,E226)</f>
        <v>15135</v>
      </c>
      <c r="F215" s="575">
        <f t="shared" si="51"/>
        <v>16585</v>
      </c>
      <c r="G215" s="575">
        <f t="shared" si="51"/>
        <v>350</v>
      </c>
      <c r="H215" s="576">
        <f t="shared" si="51"/>
        <v>350</v>
      </c>
      <c r="I215" s="575">
        <f t="shared" si="51"/>
        <v>16585</v>
      </c>
      <c r="J215" s="599"/>
    </row>
    <row r="216" spans="1:10" ht="48.75" customHeight="1">
      <c r="A216" s="573" t="s">
        <v>587</v>
      </c>
      <c r="B216" s="574" t="s">
        <v>1396</v>
      </c>
      <c r="C216" s="370"/>
      <c r="D216" s="575">
        <f>D217</f>
        <v>5850</v>
      </c>
      <c r="E216" s="575">
        <f t="shared" ref="E216:I216" si="52">E217</f>
        <v>5850</v>
      </c>
      <c r="F216" s="575">
        <f t="shared" si="52"/>
        <v>7300</v>
      </c>
      <c r="G216" s="575">
        <f t="shared" si="52"/>
        <v>0</v>
      </c>
      <c r="H216" s="576">
        <f t="shared" si="52"/>
        <v>205</v>
      </c>
      <c r="I216" s="575">
        <f t="shared" si="52"/>
        <v>7095</v>
      </c>
      <c r="J216" s="599"/>
    </row>
    <row r="217" spans="1:10" ht="28.5" customHeight="1">
      <c r="A217" s="573" t="s">
        <v>96</v>
      </c>
      <c r="B217" s="574" t="s">
        <v>1397</v>
      </c>
      <c r="C217" s="370"/>
      <c r="D217" s="575">
        <f t="shared" ref="D217:H217" si="53">SUM(D218:D219)</f>
        <v>5850</v>
      </c>
      <c r="E217" s="575">
        <f t="shared" si="53"/>
        <v>5850</v>
      </c>
      <c r="F217" s="575">
        <f t="shared" si="53"/>
        <v>7300</v>
      </c>
      <c r="G217" s="575">
        <f t="shared" si="53"/>
        <v>0</v>
      </c>
      <c r="H217" s="576">
        <f t="shared" si="53"/>
        <v>205</v>
      </c>
      <c r="I217" s="575">
        <f>SUM(I218:I219)</f>
        <v>7095</v>
      </c>
      <c r="J217" s="599"/>
    </row>
    <row r="218" spans="1:10" ht="27.75">
      <c r="A218" s="600" t="s">
        <v>144</v>
      </c>
      <c r="B218" s="358" t="s">
        <v>1753</v>
      </c>
      <c r="C218" s="359" t="s">
        <v>1752</v>
      </c>
      <c r="D218" s="360">
        <v>2350</v>
      </c>
      <c r="E218" s="360">
        <v>2350</v>
      </c>
      <c r="F218" s="596">
        <v>3800</v>
      </c>
      <c r="G218" s="596"/>
      <c r="H218" s="606">
        <v>100</v>
      </c>
      <c r="I218" s="161">
        <f t="shared" si="47"/>
        <v>3700</v>
      </c>
      <c r="J218" s="370" t="s">
        <v>1615</v>
      </c>
    </row>
    <row r="219" spans="1:10" ht="51" customHeight="1">
      <c r="A219" s="600" t="s">
        <v>547</v>
      </c>
      <c r="B219" s="601" t="s">
        <v>1613</v>
      </c>
      <c r="C219" s="375" t="s">
        <v>1614</v>
      </c>
      <c r="D219" s="596">
        <v>3500</v>
      </c>
      <c r="E219" s="596">
        <v>3500</v>
      </c>
      <c r="F219" s="596">
        <v>3500</v>
      </c>
      <c r="G219" s="596"/>
      <c r="H219" s="606">
        <v>105</v>
      </c>
      <c r="I219" s="161">
        <f t="shared" ref="I219" si="54">F219+G219-H219</f>
        <v>3395</v>
      </c>
      <c r="J219" s="370" t="s">
        <v>1615</v>
      </c>
    </row>
    <row r="220" spans="1:10" ht="81">
      <c r="A220" s="573" t="s">
        <v>587</v>
      </c>
      <c r="B220" s="574" t="s">
        <v>1401</v>
      </c>
      <c r="C220" s="370"/>
      <c r="D220" s="575">
        <f>D221</f>
        <v>3000</v>
      </c>
      <c r="E220" s="575">
        <f t="shared" ref="E220:I221" si="55">E221</f>
        <v>3000</v>
      </c>
      <c r="F220" s="575">
        <f t="shared" si="55"/>
        <v>3000</v>
      </c>
      <c r="G220" s="575">
        <f t="shared" si="55"/>
        <v>0</v>
      </c>
      <c r="H220" s="576">
        <f t="shared" si="55"/>
        <v>145</v>
      </c>
      <c r="I220" s="575">
        <f t="shared" si="55"/>
        <v>2855</v>
      </c>
      <c r="J220" s="599"/>
    </row>
    <row r="221" spans="1:10">
      <c r="A221" s="573" t="s">
        <v>1482</v>
      </c>
      <c r="B221" s="574" t="s">
        <v>1405</v>
      </c>
      <c r="C221" s="370"/>
      <c r="D221" s="588">
        <f>D222</f>
        <v>3000</v>
      </c>
      <c r="E221" s="588">
        <f t="shared" si="55"/>
        <v>3000</v>
      </c>
      <c r="F221" s="588">
        <f t="shared" si="55"/>
        <v>3000</v>
      </c>
      <c r="G221" s="588">
        <f t="shared" si="55"/>
        <v>0</v>
      </c>
      <c r="H221" s="589">
        <f t="shared" si="55"/>
        <v>145</v>
      </c>
      <c r="I221" s="588">
        <f t="shared" si="55"/>
        <v>2855</v>
      </c>
      <c r="J221" s="370"/>
    </row>
    <row r="222" spans="1:10">
      <c r="A222" s="573" t="s">
        <v>96</v>
      </c>
      <c r="B222" s="574" t="s">
        <v>1406</v>
      </c>
      <c r="C222" s="370"/>
      <c r="D222" s="588">
        <f>SUM(D223:D225)</f>
        <v>3000</v>
      </c>
      <c r="E222" s="588">
        <f t="shared" ref="E222:I222" si="56">SUM(E223:E225)</f>
        <v>3000</v>
      </c>
      <c r="F222" s="588">
        <f t="shared" si="56"/>
        <v>3000</v>
      </c>
      <c r="G222" s="588">
        <f t="shared" si="56"/>
        <v>0</v>
      </c>
      <c r="H222" s="589">
        <f t="shared" si="56"/>
        <v>145</v>
      </c>
      <c r="I222" s="588">
        <f t="shared" si="56"/>
        <v>2855</v>
      </c>
      <c r="J222" s="370"/>
    </row>
    <row r="223" spans="1:10" ht="41.85" customHeight="1">
      <c r="A223" s="622">
        <v>12</v>
      </c>
      <c r="B223" s="623" t="s">
        <v>1616</v>
      </c>
      <c r="C223" s="370" t="s">
        <v>1617</v>
      </c>
      <c r="D223" s="596">
        <v>1000</v>
      </c>
      <c r="E223" s="596">
        <v>1000</v>
      </c>
      <c r="F223" s="596">
        <v>1000</v>
      </c>
      <c r="G223" s="594"/>
      <c r="H223" s="595">
        <v>16</v>
      </c>
      <c r="I223" s="161">
        <f t="shared" si="47"/>
        <v>984</v>
      </c>
      <c r="J223" s="624" t="s">
        <v>1615</v>
      </c>
    </row>
    <row r="224" spans="1:10" ht="41.85" customHeight="1">
      <c r="A224" s="622">
        <v>14</v>
      </c>
      <c r="B224" s="623" t="s">
        <v>1618</v>
      </c>
      <c r="C224" s="370" t="s">
        <v>1619</v>
      </c>
      <c r="D224" s="596">
        <v>1000</v>
      </c>
      <c r="E224" s="596">
        <v>1000</v>
      </c>
      <c r="F224" s="596">
        <v>1000</v>
      </c>
      <c r="G224" s="594"/>
      <c r="H224" s="595">
        <v>0</v>
      </c>
      <c r="I224" s="161">
        <f t="shared" si="47"/>
        <v>1000</v>
      </c>
      <c r="J224" s="370"/>
    </row>
    <row r="225" spans="1:12" ht="41.85" customHeight="1">
      <c r="A225" s="622">
        <v>15</v>
      </c>
      <c r="B225" s="623" t="s">
        <v>1620</v>
      </c>
      <c r="C225" s="370"/>
      <c r="D225" s="596">
        <v>1000</v>
      </c>
      <c r="E225" s="596">
        <v>1000</v>
      </c>
      <c r="F225" s="596">
        <v>1000</v>
      </c>
      <c r="G225" s="594"/>
      <c r="H225" s="595">
        <v>129</v>
      </c>
      <c r="I225" s="161">
        <f t="shared" si="47"/>
        <v>871</v>
      </c>
      <c r="J225" s="370" t="s">
        <v>1615</v>
      </c>
    </row>
    <row r="226" spans="1:12" ht="59.25" customHeight="1">
      <c r="A226" s="573" t="s">
        <v>214</v>
      </c>
      <c r="B226" s="574" t="s">
        <v>1451</v>
      </c>
      <c r="C226" s="370"/>
      <c r="D226" s="575">
        <f>D227</f>
        <v>13500</v>
      </c>
      <c r="E226" s="575">
        <f t="shared" ref="E226:I226" si="57">E227</f>
        <v>6285</v>
      </c>
      <c r="F226" s="575">
        <f t="shared" si="57"/>
        <v>6285</v>
      </c>
      <c r="G226" s="575">
        <f t="shared" si="57"/>
        <v>350</v>
      </c>
      <c r="H226" s="576">
        <f t="shared" si="57"/>
        <v>0</v>
      </c>
      <c r="I226" s="575">
        <f t="shared" si="57"/>
        <v>6635</v>
      </c>
      <c r="J226" s="599">
        <v>0</v>
      </c>
    </row>
    <row r="227" spans="1:12" ht="39.75" customHeight="1">
      <c r="A227" s="600" t="s">
        <v>144</v>
      </c>
      <c r="B227" s="625" t="s">
        <v>1621</v>
      </c>
      <c r="C227" s="370" t="s">
        <v>1622</v>
      </c>
      <c r="D227" s="596">
        <v>13500</v>
      </c>
      <c r="E227" s="596">
        <v>6285</v>
      </c>
      <c r="F227" s="596">
        <v>6285</v>
      </c>
      <c r="G227" s="594">
        <v>350</v>
      </c>
      <c r="H227" s="595"/>
      <c r="I227" s="161">
        <f t="shared" si="47"/>
        <v>6635</v>
      </c>
      <c r="J227" s="370" t="s">
        <v>1623</v>
      </c>
    </row>
    <row r="228" spans="1:12" ht="29.25" customHeight="1">
      <c r="A228" s="597" t="s">
        <v>1668</v>
      </c>
      <c r="B228" s="598" t="s">
        <v>1625</v>
      </c>
      <c r="C228" s="370"/>
      <c r="D228" s="575">
        <f t="shared" ref="D228:I228" si="58">SUM(D229,D234,D236,D256,D258)</f>
        <v>150273.06122448979</v>
      </c>
      <c r="E228" s="575">
        <f t="shared" si="58"/>
        <v>144091</v>
      </c>
      <c r="F228" s="575">
        <f t="shared" si="58"/>
        <v>133247.4</v>
      </c>
      <c r="G228" s="575">
        <f t="shared" si="58"/>
        <v>1581</v>
      </c>
      <c r="H228" s="576">
        <f t="shared" si="58"/>
        <v>1581</v>
      </c>
      <c r="I228" s="575">
        <f t="shared" si="58"/>
        <v>133247.4</v>
      </c>
      <c r="J228" s="599"/>
      <c r="L228" s="361"/>
    </row>
    <row r="229" spans="1:12" ht="68.25" customHeight="1">
      <c r="A229" s="573" t="s">
        <v>587</v>
      </c>
      <c r="B229" s="574" t="s">
        <v>1396</v>
      </c>
      <c r="C229" s="370"/>
      <c r="D229" s="575">
        <f>D230</f>
        <v>15659</v>
      </c>
      <c r="E229" s="575">
        <f t="shared" ref="E229:I229" si="59">E230</f>
        <v>15659</v>
      </c>
      <c r="F229" s="575">
        <f t="shared" si="59"/>
        <v>11659</v>
      </c>
      <c r="G229" s="575">
        <f t="shared" si="59"/>
        <v>1581</v>
      </c>
      <c r="H229" s="576">
        <f t="shared" si="59"/>
        <v>265</v>
      </c>
      <c r="I229" s="575">
        <f t="shared" si="59"/>
        <v>12975</v>
      </c>
      <c r="J229" s="370"/>
    </row>
    <row r="230" spans="1:12" ht="35.25" customHeight="1">
      <c r="A230" s="573" t="s">
        <v>96</v>
      </c>
      <c r="B230" s="574" t="s">
        <v>1397</v>
      </c>
      <c r="C230" s="370"/>
      <c r="D230" s="575">
        <f t="shared" ref="D230:H230" si="60">SUM(D231:D233)</f>
        <v>15659</v>
      </c>
      <c r="E230" s="575">
        <f t="shared" si="60"/>
        <v>15659</v>
      </c>
      <c r="F230" s="575">
        <f t="shared" si="60"/>
        <v>11659</v>
      </c>
      <c r="G230" s="575">
        <f t="shared" si="60"/>
        <v>1581</v>
      </c>
      <c r="H230" s="576">
        <f t="shared" si="60"/>
        <v>265</v>
      </c>
      <c r="I230" s="575">
        <f>SUM(I231:I233)</f>
        <v>12975</v>
      </c>
      <c r="J230" s="599">
        <v>0</v>
      </c>
    </row>
    <row r="231" spans="1:12" ht="35.25" customHeight="1">
      <c r="A231" s="626">
        <v>1</v>
      </c>
      <c r="B231" s="586" t="s">
        <v>1791</v>
      </c>
      <c r="C231" s="627" t="s">
        <v>1790</v>
      </c>
      <c r="D231" s="183">
        <v>3000</v>
      </c>
      <c r="E231" s="183">
        <v>3000</v>
      </c>
      <c r="F231" s="181">
        <v>3000</v>
      </c>
      <c r="G231" s="575"/>
      <c r="H231" s="628">
        <v>205</v>
      </c>
      <c r="I231" s="161">
        <f t="shared" si="47"/>
        <v>2795</v>
      </c>
      <c r="J231" s="599"/>
    </row>
    <row r="232" spans="1:12" ht="35.25" customHeight="1">
      <c r="A232" s="626">
        <v>3</v>
      </c>
      <c r="B232" s="586" t="s">
        <v>1789</v>
      </c>
      <c r="C232" s="627" t="s">
        <v>1788</v>
      </c>
      <c r="D232" s="183">
        <v>5659</v>
      </c>
      <c r="E232" s="183">
        <v>5659</v>
      </c>
      <c r="F232" s="181">
        <v>5659</v>
      </c>
      <c r="G232" s="575"/>
      <c r="H232" s="628">
        <v>60</v>
      </c>
      <c r="I232" s="161">
        <f t="shared" si="47"/>
        <v>5599</v>
      </c>
      <c r="J232" s="599"/>
    </row>
    <row r="233" spans="1:12" ht="66.75" customHeight="1">
      <c r="A233" s="626">
        <v>3</v>
      </c>
      <c r="B233" s="570" t="s">
        <v>1787</v>
      </c>
      <c r="C233" s="629" t="s">
        <v>1786</v>
      </c>
      <c r="D233" s="183">
        <v>7000</v>
      </c>
      <c r="E233" s="183">
        <v>7000</v>
      </c>
      <c r="F233" s="596">
        <v>3000</v>
      </c>
      <c r="G233" s="594">
        <v>1581</v>
      </c>
      <c r="H233" s="595"/>
      <c r="I233" s="161">
        <f t="shared" si="47"/>
        <v>4581</v>
      </c>
      <c r="J233" s="370" t="s">
        <v>2007</v>
      </c>
    </row>
    <row r="234" spans="1:12" ht="77.25" customHeight="1">
      <c r="A234" s="573" t="s">
        <v>587</v>
      </c>
      <c r="B234" s="574" t="s">
        <v>1628</v>
      </c>
      <c r="C234" s="370"/>
      <c r="D234" s="575">
        <f t="shared" ref="D234:I234" si="61">SUM(D235:D235)</f>
        <v>30000</v>
      </c>
      <c r="E234" s="575">
        <f t="shared" si="61"/>
        <v>23846</v>
      </c>
      <c r="F234" s="575">
        <f t="shared" si="61"/>
        <v>23846</v>
      </c>
      <c r="G234" s="575">
        <f t="shared" si="61"/>
        <v>0</v>
      </c>
      <c r="H234" s="576">
        <f t="shared" si="61"/>
        <v>0</v>
      </c>
      <c r="I234" s="575">
        <f t="shared" si="61"/>
        <v>23846</v>
      </c>
      <c r="J234" s="599">
        <v>0</v>
      </c>
    </row>
    <row r="235" spans="1:12" ht="71.25" customHeight="1">
      <c r="A235" s="600" t="s">
        <v>144</v>
      </c>
      <c r="B235" s="602" t="s">
        <v>1629</v>
      </c>
      <c r="C235" s="370" t="s">
        <v>1630</v>
      </c>
      <c r="D235" s="596">
        <v>30000</v>
      </c>
      <c r="E235" s="596">
        <v>23846</v>
      </c>
      <c r="F235" s="596">
        <v>23846</v>
      </c>
      <c r="G235" s="596"/>
      <c r="H235" s="606"/>
      <c r="I235" s="161">
        <f t="shared" si="47"/>
        <v>23846</v>
      </c>
      <c r="J235" s="370"/>
    </row>
    <row r="236" spans="1:12" ht="81">
      <c r="A236" s="573" t="s">
        <v>587</v>
      </c>
      <c r="B236" s="574" t="s">
        <v>1401</v>
      </c>
      <c r="C236" s="370"/>
      <c r="D236" s="575">
        <f>SUM(D237,D254)</f>
        <v>98139.061224489793</v>
      </c>
      <c r="E236" s="575">
        <f t="shared" ref="E236:I236" si="62">SUM(E237,E254)</f>
        <v>98111</v>
      </c>
      <c r="F236" s="575">
        <f t="shared" si="62"/>
        <v>92651.4</v>
      </c>
      <c r="G236" s="575">
        <f t="shared" si="62"/>
        <v>0</v>
      </c>
      <c r="H236" s="576">
        <f t="shared" si="62"/>
        <v>1291</v>
      </c>
      <c r="I236" s="575">
        <f t="shared" si="62"/>
        <v>91360.4</v>
      </c>
      <c r="J236" s="370"/>
    </row>
    <row r="237" spans="1:12" ht="20.45" customHeight="1">
      <c r="A237" s="573" t="s">
        <v>1631</v>
      </c>
      <c r="B237" s="574" t="s">
        <v>1405</v>
      </c>
      <c r="C237" s="370"/>
      <c r="D237" s="575">
        <f>D238+D252</f>
        <v>82219.061224489793</v>
      </c>
      <c r="E237" s="575">
        <f t="shared" ref="E237:I237" si="63">E238+E252</f>
        <v>82191</v>
      </c>
      <c r="F237" s="575">
        <f t="shared" si="63"/>
        <v>77956</v>
      </c>
      <c r="G237" s="575">
        <f t="shared" si="63"/>
        <v>0</v>
      </c>
      <c r="H237" s="576">
        <f t="shared" si="63"/>
        <v>1291</v>
      </c>
      <c r="I237" s="575">
        <f t="shared" si="63"/>
        <v>76665</v>
      </c>
      <c r="J237" s="370"/>
    </row>
    <row r="238" spans="1:12" ht="20.45" customHeight="1">
      <c r="A238" s="573" t="s">
        <v>96</v>
      </c>
      <c r="B238" s="574" t="s">
        <v>1406</v>
      </c>
      <c r="C238" s="370"/>
      <c r="D238" s="575">
        <f t="shared" ref="D238:G238" si="64">SUM(D239:D251)</f>
        <v>80181.061224489793</v>
      </c>
      <c r="E238" s="575">
        <f t="shared" si="64"/>
        <v>80153</v>
      </c>
      <c r="F238" s="575">
        <f t="shared" si="64"/>
        <v>75918</v>
      </c>
      <c r="G238" s="575">
        <f t="shared" si="64"/>
        <v>0</v>
      </c>
      <c r="H238" s="576">
        <f>SUM(H239:H251)</f>
        <v>1235</v>
      </c>
      <c r="I238" s="575">
        <f t="shared" ref="I238" si="65">SUM(I239:I251)</f>
        <v>74683</v>
      </c>
      <c r="J238" s="370"/>
    </row>
    <row r="239" spans="1:12" ht="41.65">
      <c r="A239" s="630" t="s">
        <v>144</v>
      </c>
      <c r="B239" s="625" t="s">
        <v>1632</v>
      </c>
      <c r="C239" s="631" t="s">
        <v>1633</v>
      </c>
      <c r="D239" s="596">
        <v>11000</v>
      </c>
      <c r="E239" s="596">
        <v>11000</v>
      </c>
      <c r="F239" s="596">
        <v>10930</v>
      </c>
      <c r="G239" s="596"/>
      <c r="H239" s="606"/>
      <c r="I239" s="161">
        <f t="shared" ref="I239:I294" si="66">F239+G239-H239</f>
        <v>10930</v>
      </c>
      <c r="J239" s="370" t="s">
        <v>1634</v>
      </c>
    </row>
    <row r="240" spans="1:12" ht="41.65">
      <c r="A240" s="630">
        <v>2</v>
      </c>
      <c r="B240" s="625" t="s">
        <v>1635</v>
      </c>
      <c r="C240" s="631" t="s">
        <v>1636</v>
      </c>
      <c r="D240" s="596">
        <v>6000</v>
      </c>
      <c r="E240" s="596">
        <v>6000</v>
      </c>
      <c r="F240" s="596">
        <v>4712</v>
      </c>
      <c r="G240" s="596"/>
      <c r="H240" s="606"/>
      <c r="I240" s="161">
        <f t="shared" si="66"/>
        <v>4712</v>
      </c>
      <c r="J240" s="370" t="s">
        <v>1634</v>
      </c>
    </row>
    <row r="241" spans="1:10" ht="57.75" customHeight="1">
      <c r="A241" s="630" t="s">
        <v>547</v>
      </c>
      <c r="B241" s="625" t="s">
        <v>1637</v>
      </c>
      <c r="C241" s="370" t="s">
        <v>1638</v>
      </c>
      <c r="D241" s="596">
        <v>3200</v>
      </c>
      <c r="E241" s="596">
        <v>3200</v>
      </c>
      <c r="F241" s="596">
        <v>3200</v>
      </c>
      <c r="G241" s="596"/>
      <c r="H241" s="606"/>
      <c r="I241" s="161">
        <f t="shared" si="66"/>
        <v>3200</v>
      </c>
      <c r="J241" s="370" t="s">
        <v>1634</v>
      </c>
    </row>
    <row r="242" spans="1:10" ht="57.75" customHeight="1">
      <c r="A242" s="630">
        <v>3</v>
      </c>
      <c r="B242" s="625" t="s">
        <v>1639</v>
      </c>
      <c r="C242" s="370"/>
      <c r="D242" s="596">
        <v>5000</v>
      </c>
      <c r="E242" s="596">
        <v>5000</v>
      </c>
      <c r="F242" s="596">
        <v>5000</v>
      </c>
      <c r="G242" s="596"/>
      <c r="H242" s="606">
        <v>47</v>
      </c>
      <c r="I242" s="161">
        <f t="shared" si="66"/>
        <v>4953</v>
      </c>
      <c r="J242" s="370" t="s">
        <v>1634</v>
      </c>
    </row>
    <row r="243" spans="1:10" ht="64.5" customHeight="1">
      <c r="A243" s="630" t="s">
        <v>214</v>
      </c>
      <c r="B243" s="605" t="s">
        <v>1640</v>
      </c>
      <c r="C243" s="630" t="s">
        <v>1641</v>
      </c>
      <c r="D243" s="596">
        <v>18000</v>
      </c>
      <c r="E243" s="596">
        <v>18000</v>
      </c>
      <c r="F243" s="596">
        <v>18000</v>
      </c>
      <c r="G243" s="596"/>
      <c r="H243" s="606"/>
      <c r="I243" s="161">
        <f t="shared" si="66"/>
        <v>18000</v>
      </c>
      <c r="J243" s="370" t="s">
        <v>1634</v>
      </c>
    </row>
    <row r="244" spans="1:10" ht="61.5" customHeight="1">
      <c r="A244" s="630">
        <v>4</v>
      </c>
      <c r="B244" s="605" t="s">
        <v>1642</v>
      </c>
      <c r="C244" s="370" t="s">
        <v>1643</v>
      </c>
      <c r="D244" s="596">
        <v>1200</v>
      </c>
      <c r="E244" s="596">
        <v>1200</v>
      </c>
      <c r="F244" s="596">
        <v>1102</v>
      </c>
      <c r="G244" s="596"/>
      <c r="H244" s="606">
        <v>62</v>
      </c>
      <c r="I244" s="161">
        <f t="shared" si="66"/>
        <v>1040</v>
      </c>
      <c r="J244" s="370" t="s">
        <v>1634</v>
      </c>
    </row>
    <row r="245" spans="1:10" ht="61.5" customHeight="1">
      <c r="A245" s="630" t="s">
        <v>967</v>
      </c>
      <c r="B245" s="376" t="s">
        <v>1644</v>
      </c>
      <c r="C245" s="370" t="s">
        <v>1645</v>
      </c>
      <c r="D245" s="596">
        <v>6000</v>
      </c>
      <c r="E245" s="596">
        <v>6000</v>
      </c>
      <c r="F245" s="596">
        <v>6000</v>
      </c>
      <c r="G245" s="596"/>
      <c r="H245" s="606">
        <v>321</v>
      </c>
      <c r="I245" s="161">
        <f t="shared" si="66"/>
        <v>5679</v>
      </c>
      <c r="J245" s="370" t="s">
        <v>1634</v>
      </c>
    </row>
    <row r="246" spans="1:10" ht="61.5" customHeight="1">
      <c r="A246" s="630">
        <v>5</v>
      </c>
      <c r="B246" s="376" t="s">
        <v>1646</v>
      </c>
      <c r="C246" s="370" t="s">
        <v>1647</v>
      </c>
      <c r="D246" s="596">
        <v>10945</v>
      </c>
      <c r="E246" s="596">
        <v>10945</v>
      </c>
      <c r="F246" s="596">
        <v>10945</v>
      </c>
      <c r="G246" s="596"/>
      <c r="H246" s="606">
        <v>515</v>
      </c>
      <c r="I246" s="161">
        <f t="shared" si="66"/>
        <v>10430</v>
      </c>
      <c r="J246" s="370" t="s">
        <v>1634</v>
      </c>
    </row>
    <row r="247" spans="1:10" ht="78" customHeight="1">
      <c r="A247" s="630" t="s">
        <v>968</v>
      </c>
      <c r="B247" s="376" t="s">
        <v>1648</v>
      </c>
      <c r="C247" s="370" t="s">
        <v>1649</v>
      </c>
      <c r="D247" s="596">
        <v>5500</v>
      </c>
      <c r="E247" s="596">
        <v>5500</v>
      </c>
      <c r="F247" s="596">
        <v>5196</v>
      </c>
      <c r="G247" s="596"/>
      <c r="H247" s="606"/>
      <c r="I247" s="161">
        <f t="shared" si="66"/>
        <v>5196</v>
      </c>
      <c r="J247" s="370" t="s">
        <v>1650</v>
      </c>
    </row>
    <row r="248" spans="1:10" ht="51.75" customHeight="1">
      <c r="A248" s="630">
        <v>6</v>
      </c>
      <c r="B248" s="376" t="s">
        <v>1651</v>
      </c>
      <c r="C248" s="370" t="s">
        <v>1652</v>
      </c>
      <c r="D248" s="596">
        <v>3000</v>
      </c>
      <c r="E248" s="596">
        <v>3000</v>
      </c>
      <c r="F248" s="596">
        <v>3000</v>
      </c>
      <c r="G248" s="596"/>
      <c r="H248" s="606"/>
      <c r="I248" s="161">
        <f t="shared" si="66"/>
        <v>3000</v>
      </c>
      <c r="J248" s="370" t="s">
        <v>1634</v>
      </c>
    </row>
    <row r="249" spans="1:10" ht="52.5" customHeight="1">
      <c r="A249" s="630" t="s">
        <v>969</v>
      </c>
      <c r="B249" s="376" t="s">
        <v>1653</v>
      </c>
      <c r="C249" s="370" t="s">
        <v>1654</v>
      </c>
      <c r="D249" s="596">
        <v>4000</v>
      </c>
      <c r="E249" s="596">
        <v>4000</v>
      </c>
      <c r="F249" s="596">
        <v>1500</v>
      </c>
      <c r="G249" s="596"/>
      <c r="H249" s="606"/>
      <c r="I249" s="161">
        <f t="shared" si="66"/>
        <v>1500</v>
      </c>
      <c r="J249" s="370" t="s">
        <v>1634</v>
      </c>
    </row>
    <row r="250" spans="1:10" ht="59.25" customHeight="1">
      <c r="A250" s="630">
        <v>7</v>
      </c>
      <c r="B250" s="376" t="s">
        <v>1655</v>
      </c>
      <c r="C250" s="370" t="s">
        <v>1656</v>
      </c>
      <c r="D250" s="596">
        <v>4933</v>
      </c>
      <c r="E250" s="596">
        <v>4933</v>
      </c>
      <c r="F250" s="596">
        <v>4933</v>
      </c>
      <c r="G250" s="596"/>
      <c r="H250" s="606">
        <v>265</v>
      </c>
      <c r="I250" s="161">
        <f t="shared" si="66"/>
        <v>4668</v>
      </c>
      <c r="J250" s="370" t="s">
        <v>1634</v>
      </c>
    </row>
    <row r="251" spans="1:10" ht="57.75" customHeight="1">
      <c r="A251" s="630" t="s">
        <v>970</v>
      </c>
      <c r="B251" s="602" t="s">
        <v>1666</v>
      </c>
      <c r="C251" s="370" t="s">
        <v>1667</v>
      </c>
      <c r="D251" s="596">
        <v>1403.0612244897959</v>
      </c>
      <c r="E251" s="596">
        <v>1375</v>
      </c>
      <c r="F251" s="596">
        <v>1400</v>
      </c>
      <c r="G251" s="596"/>
      <c r="H251" s="606">
        <v>25</v>
      </c>
      <c r="I251" s="161">
        <f t="shared" ref="I251" si="67">F251+G251-H251</f>
        <v>1375</v>
      </c>
      <c r="J251" s="632" t="s">
        <v>1634</v>
      </c>
    </row>
    <row r="252" spans="1:10" ht="20.25" customHeight="1">
      <c r="A252" s="633" t="s">
        <v>97</v>
      </c>
      <c r="B252" s="634" t="s">
        <v>1438</v>
      </c>
      <c r="C252" s="370"/>
      <c r="D252" s="575">
        <f>D253</f>
        <v>2038</v>
      </c>
      <c r="E252" s="575">
        <f t="shared" ref="E252:I252" si="68">E253</f>
        <v>2038</v>
      </c>
      <c r="F252" s="575">
        <f t="shared" si="68"/>
        <v>2038</v>
      </c>
      <c r="G252" s="575">
        <f t="shared" si="68"/>
        <v>0</v>
      </c>
      <c r="H252" s="576">
        <f t="shared" si="68"/>
        <v>56</v>
      </c>
      <c r="I252" s="575">
        <f t="shared" si="68"/>
        <v>1982</v>
      </c>
      <c r="J252" s="599">
        <v>0</v>
      </c>
    </row>
    <row r="253" spans="1:10" ht="54" customHeight="1">
      <c r="A253" s="635" t="s">
        <v>144</v>
      </c>
      <c r="B253" s="636" t="s">
        <v>1657</v>
      </c>
      <c r="C253" s="370" t="s">
        <v>1658</v>
      </c>
      <c r="D253" s="596">
        <v>2038</v>
      </c>
      <c r="E253" s="596">
        <v>2038</v>
      </c>
      <c r="F253" s="596">
        <v>2038</v>
      </c>
      <c r="G253" s="594"/>
      <c r="H253" s="595">
        <v>56</v>
      </c>
      <c r="I253" s="161">
        <f t="shared" si="66"/>
        <v>1982</v>
      </c>
      <c r="J253" s="370" t="s">
        <v>1634</v>
      </c>
    </row>
    <row r="254" spans="1:10" ht="38.25" customHeight="1">
      <c r="A254" s="633" t="s">
        <v>1659</v>
      </c>
      <c r="B254" s="634" t="s">
        <v>1445</v>
      </c>
      <c r="C254" s="370"/>
      <c r="D254" s="588">
        <f>D255</f>
        <v>15920</v>
      </c>
      <c r="E254" s="588">
        <f t="shared" ref="E254:I254" si="69">E255</f>
        <v>15920</v>
      </c>
      <c r="F254" s="588">
        <f t="shared" si="69"/>
        <v>14695.4</v>
      </c>
      <c r="G254" s="588">
        <f t="shared" si="69"/>
        <v>0</v>
      </c>
      <c r="H254" s="589">
        <f t="shared" si="69"/>
        <v>0</v>
      </c>
      <c r="I254" s="588">
        <f t="shared" si="69"/>
        <v>14695.4</v>
      </c>
      <c r="J254" s="370"/>
    </row>
    <row r="255" spans="1:10" ht="60" customHeight="1">
      <c r="A255" s="630" t="s">
        <v>144</v>
      </c>
      <c r="B255" s="625" t="s">
        <v>1660</v>
      </c>
      <c r="C255" s="370" t="s">
        <v>1661</v>
      </c>
      <c r="D255" s="596">
        <v>15920</v>
      </c>
      <c r="E255" s="596">
        <v>15920</v>
      </c>
      <c r="F255" s="596">
        <v>14695.4</v>
      </c>
      <c r="G255" s="594"/>
      <c r="H255" s="595"/>
      <c r="I255" s="161">
        <f t="shared" si="66"/>
        <v>14695.4</v>
      </c>
      <c r="J255" s="370" t="s">
        <v>1634</v>
      </c>
    </row>
    <row r="256" spans="1:10" ht="55.15" customHeight="1">
      <c r="A256" s="573" t="s">
        <v>587</v>
      </c>
      <c r="B256" s="574" t="s">
        <v>1662</v>
      </c>
      <c r="C256" s="370"/>
      <c r="D256" s="575">
        <f>D257</f>
        <v>5100</v>
      </c>
      <c r="E256" s="575">
        <f t="shared" ref="E256:I256" si="70">E257</f>
        <v>5100</v>
      </c>
      <c r="F256" s="575">
        <f t="shared" si="70"/>
        <v>5066</v>
      </c>
      <c r="G256" s="575">
        <f t="shared" si="70"/>
        <v>0</v>
      </c>
      <c r="H256" s="576">
        <f t="shared" si="70"/>
        <v>0</v>
      </c>
      <c r="I256" s="575">
        <f t="shared" si="70"/>
        <v>5066</v>
      </c>
      <c r="J256" s="370"/>
    </row>
    <row r="257" spans="1:10" ht="83.25">
      <c r="A257" s="600" t="s">
        <v>547</v>
      </c>
      <c r="B257" s="592" t="s">
        <v>1663</v>
      </c>
      <c r="C257" s="630" t="s">
        <v>1664</v>
      </c>
      <c r="D257" s="596">
        <v>5100</v>
      </c>
      <c r="E257" s="596">
        <v>5100</v>
      </c>
      <c r="F257" s="596">
        <v>5066</v>
      </c>
      <c r="G257" s="594"/>
      <c r="H257" s="595"/>
      <c r="I257" s="161">
        <f t="shared" si="66"/>
        <v>5066</v>
      </c>
      <c r="J257" s="370" t="s">
        <v>1634</v>
      </c>
    </row>
    <row r="258" spans="1:10" ht="72" customHeight="1">
      <c r="A258" s="573" t="s">
        <v>587</v>
      </c>
      <c r="B258" s="574" t="s">
        <v>1665</v>
      </c>
      <c r="C258" s="370"/>
      <c r="D258" s="575">
        <f>D259</f>
        <v>1375</v>
      </c>
      <c r="E258" s="575">
        <f t="shared" ref="E258:I258" si="71">E259</f>
        <v>1375</v>
      </c>
      <c r="F258" s="575">
        <f t="shared" si="71"/>
        <v>25</v>
      </c>
      <c r="G258" s="575">
        <f t="shared" si="71"/>
        <v>0</v>
      </c>
      <c r="H258" s="576">
        <f t="shared" si="71"/>
        <v>25</v>
      </c>
      <c r="I258" s="575">
        <f t="shared" si="71"/>
        <v>0</v>
      </c>
      <c r="J258" s="599"/>
    </row>
    <row r="259" spans="1:10" ht="50.25" customHeight="1">
      <c r="A259" s="600"/>
      <c r="B259" s="602" t="s">
        <v>1666</v>
      </c>
      <c r="C259" s="370" t="s">
        <v>1667</v>
      </c>
      <c r="D259" s="596">
        <v>1375</v>
      </c>
      <c r="E259" s="596">
        <v>1375</v>
      </c>
      <c r="F259" s="596">
        <v>25</v>
      </c>
      <c r="G259" s="596"/>
      <c r="H259" s="606">
        <v>25</v>
      </c>
      <c r="I259" s="161">
        <f t="shared" si="66"/>
        <v>0</v>
      </c>
      <c r="J259" s="632" t="s">
        <v>1634</v>
      </c>
    </row>
    <row r="260" spans="1:10" ht="28.5" customHeight="1">
      <c r="A260" s="610" t="s">
        <v>1702</v>
      </c>
      <c r="B260" s="621" t="s">
        <v>1669</v>
      </c>
      <c r="C260" s="370"/>
      <c r="D260" s="575">
        <f>SUM(D261,D264,D284)</f>
        <v>71414.111111111109</v>
      </c>
      <c r="E260" s="575">
        <f t="shared" ref="E260:I260" si="72">SUM(E261,E264,E284)</f>
        <v>71302.899999999994</v>
      </c>
      <c r="F260" s="575">
        <f t="shared" si="72"/>
        <v>70472.899999999994</v>
      </c>
      <c r="G260" s="575">
        <f t="shared" si="72"/>
        <v>8</v>
      </c>
      <c r="H260" s="576">
        <f t="shared" si="72"/>
        <v>1496</v>
      </c>
      <c r="I260" s="575">
        <f t="shared" si="72"/>
        <v>68984.899999999994</v>
      </c>
      <c r="J260" s="370"/>
    </row>
    <row r="261" spans="1:10" ht="54.4" customHeight="1">
      <c r="A261" s="573" t="s">
        <v>587</v>
      </c>
      <c r="B261" s="574" t="s">
        <v>1396</v>
      </c>
      <c r="C261" s="370"/>
      <c r="D261" s="575">
        <f>D262</f>
        <v>2600</v>
      </c>
      <c r="E261" s="575">
        <f t="shared" ref="E261:I262" si="73">E262</f>
        <v>2600</v>
      </c>
      <c r="F261" s="575">
        <f t="shared" si="73"/>
        <v>2600</v>
      </c>
      <c r="G261" s="575">
        <f t="shared" si="73"/>
        <v>0</v>
      </c>
      <c r="H261" s="576">
        <f t="shared" si="73"/>
        <v>101</v>
      </c>
      <c r="I261" s="575">
        <f t="shared" si="73"/>
        <v>2499</v>
      </c>
      <c r="J261" s="370"/>
    </row>
    <row r="262" spans="1:10" ht="23.65" customHeight="1">
      <c r="A262" s="573" t="s">
        <v>96</v>
      </c>
      <c r="B262" s="574" t="s">
        <v>1397</v>
      </c>
      <c r="C262" s="370"/>
      <c r="D262" s="575">
        <f>D263</f>
        <v>2600</v>
      </c>
      <c r="E262" s="575">
        <f t="shared" si="73"/>
        <v>2600</v>
      </c>
      <c r="F262" s="575">
        <f t="shared" si="73"/>
        <v>2600</v>
      </c>
      <c r="G262" s="575">
        <f t="shared" si="73"/>
        <v>0</v>
      </c>
      <c r="H262" s="576">
        <f t="shared" si="73"/>
        <v>101</v>
      </c>
      <c r="I262" s="575">
        <f t="shared" si="73"/>
        <v>2499</v>
      </c>
      <c r="J262" s="370"/>
    </row>
    <row r="263" spans="1:10" ht="41.65">
      <c r="A263" s="600" t="s">
        <v>214</v>
      </c>
      <c r="B263" s="592" t="s">
        <v>1670</v>
      </c>
      <c r="C263" s="375" t="s">
        <v>1671</v>
      </c>
      <c r="D263" s="596">
        <v>2600</v>
      </c>
      <c r="E263" s="596">
        <v>2600</v>
      </c>
      <c r="F263" s="596">
        <v>2600</v>
      </c>
      <c r="G263" s="594">
        <v>0</v>
      </c>
      <c r="H263" s="595">
        <v>101</v>
      </c>
      <c r="I263" s="161">
        <f t="shared" si="66"/>
        <v>2499</v>
      </c>
      <c r="J263" s="370"/>
    </row>
    <row r="264" spans="1:10" ht="81">
      <c r="A264" s="573" t="s">
        <v>587</v>
      </c>
      <c r="B264" s="574" t="s">
        <v>1401</v>
      </c>
      <c r="C264" s="370"/>
      <c r="D264" s="575">
        <f>D265+D281</f>
        <v>59969.111111111109</v>
      </c>
      <c r="E264" s="575">
        <f t="shared" ref="E264:I264" si="74">E265+E281</f>
        <v>59857.9</v>
      </c>
      <c r="F264" s="575">
        <f t="shared" si="74"/>
        <v>59027.9</v>
      </c>
      <c r="G264" s="575">
        <f t="shared" si="74"/>
        <v>8</v>
      </c>
      <c r="H264" s="576">
        <f t="shared" si="74"/>
        <v>1271</v>
      </c>
      <c r="I264" s="575">
        <f t="shared" si="74"/>
        <v>57764.9</v>
      </c>
      <c r="J264" s="599"/>
    </row>
    <row r="265" spans="1:10">
      <c r="A265" s="573" t="s">
        <v>1482</v>
      </c>
      <c r="B265" s="574" t="s">
        <v>1405</v>
      </c>
      <c r="C265" s="370"/>
      <c r="D265" s="575">
        <f>D266+D277</f>
        <v>50469.111111111109</v>
      </c>
      <c r="E265" s="575">
        <f t="shared" ref="E265:I265" si="75">E266+E277</f>
        <v>50357.9</v>
      </c>
      <c r="F265" s="575">
        <f t="shared" si="75"/>
        <v>49527.9</v>
      </c>
      <c r="G265" s="575">
        <f t="shared" si="75"/>
        <v>8</v>
      </c>
      <c r="H265" s="576">
        <f t="shared" si="75"/>
        <v>704</v>
      </c>
      <c r="I265" s="575">
        <f t="shared" si="75"/>
        <v>48831.9</v>
      </c>
      <c r="J265" s="599"/>
    </row>
    <row r="266" spans="1:10">
      <c r="A266" s="573" t="s">
        <v>96</v>
      </c>
      <c r="B266" s="574" t="s">
        <v>1406</v>
      </c>
      <c r="C266" s="370"/>
      <c r="D266" s="575">
        <f>SUM(D267:D276)</f>
        <v>46558</v>
      </c>
      <c r="E266" s="575">
        <f t="shared" ref="E266:I266" si="76">SUM(E267:E276)</f>
        <v>46558</v>
      </c>
      <c r="F266" s="575">
        <f t="shared" si="76"/>
        <v>45828</v>
      </c>
      <c r="G266" s="575">
        <f t="shared" si="76"/>
        <v>8</v>
      </c>
      <c r="H266" s="576">
        <f t="shared" si="76"/>
        <v>607</v>
      </c>
      <c r="I266" s="575">
        <f t="shared" si="76"/>
        <v>45229</v>
      </c>
      <c r="J266" s="599"/>
    </row>
    <row r="267" spans="1:10" ht="90.75" customHeight="1">
      <c r="A267" s="637">
        <v>1</v>
      </c>
      <c r="B267" s="376" t="s">
        <v>1743</v>
      </c>
      <c r="C267" s="375" t="s">
        <v>1742</v>
      </c>
      <c r="D267" s="161">
        <v>20000</v>
      </c>
      <c r="E267" s="161">
        <v>20000</v>
      </c>
      <c r="F267" s="596">
        <v>19820</v>
      </c>
      <c r="G267" s="575">
        <v>8</v>
      </c>
      <c r="H267" s="576">
        <v>0</v>
      </c>
      <c r="I267" s="161">
        <f t="shared" si="66"/>
        <v>19828</v>
      </c>
      <c r="J267" s="333" t="s">
        <v>1735</v>
      </c>
    </row>
    <row r="268" spans="1:10" ht="43.9" customHeight="1">
      <c r="A268" s="600" t="s">
        <v>144</v>
      </c>
      <c r="B268" s="560" t="s">
        <v>1672</v>
      </c>
      <c r="C268" s="370" t="s">
        <v>1673</v>
      </c>
      <c r="D268" s="596">
        <v>4000</v>
      </c>
      <c r="E268" s="596">
        <v>4000</v>
      </c>
      <c r="F268" s="596">
        <v>4000</v>
      </c>
      <c r="G268" s="594">
        <v>0</v>
      </c>
      <c r="H268" s="595">
        <v>116</v>
      </c>
      <c r="I268" s="161">
        <f t="shared" si="66"/>
        <v>3884</v>
      </c>
      <c r="J268" s="370" t="s">
        <v>1409</v>
      </c>
    </row>
    <row r="269" spans="1:10" ht="53.25" customHeight="1">
      <c r="A269" s="600" t="s">
        <v>547</v>
      </c>
      <c r="B269" s="560" t="s">
        <v>1674</v>
      </c>
      <c r="C269" s="370" t="s">
        <v>1675</v>
      </c>
      <c r="D269" s="596">
        <v>3823</v>
      </c>
      <c r="E269" s="596">
        <v>3823</v>
      </c>
      <c r="F269" s="596">
        <v>3823</v>
      </c>
      <c r="G269" s="594">
        <v>0</v>
      </c>
      <c r="H269" s="595">
        <v>116</v>
      </c>
      <c r="I269" s="161">
        <f t="shared" si="66"/>
        <v>3707</v>
      </c>
      <c r="J269" s="370" t="s">
        <v>1409</v>
      </c>
    </row>
    <row r="270" spans="1:10" ht="43.9" customHeight="1">
      <c r="A270" s="600" t="s">
        <v>547</v>
      </c>
      <c r="B270" s="638" t="s">
        <v>1676</v>
      </c>
      <c r="C270" s="370" t="s">
        <v>1677</v>
      </c>
      <c r="D270" s="596">
        <v>1700</v>
      </c>
      <c r="E270" s="596">
        <v>1700</v>
      </c>
      <c r="F270" s="596">
        <v>1700</v>
      </c>
      <c r="G270" s="594">
        <v>0</v>
      </c>
      <c r="H270" s="595">
        <v>5</v>
      </c>
      <c r="I270" s="161">
        <f t="shared" si="66"/>
        <v>1695</v>
      </c>
      <c r="J270" s="370" t="s">
        <v>1409</v>
      </c>
    </row>
    <row r="271" spans="1:10" ht="63.75" customHeight="1">
      <c r="A271" s="600" t="s">
        <v>968</v>
      </c>
      <c r="B271" s="560" t="s">
        <v>1678</v>
      </c>
      <c r="C271" s="370" t="s">
        <v>1679</v>
      </c>
      <c r="D271" s="596">
        <v>4335</v>
      </c>
      <c r="E271" s="596">
        <v>4335</v>
      </c>
      <c r="F271" s="596">
        <v>4335</v>
      </c>
      <c r="G271" s="594">
        <v>0</v>
      </c>
      <c r="H271" s="595">
        <v>161</v>
      </c>
      <c r="I271" s="161">
        <f t="shared" si="66"/>
        <v>4174</v>
      </c>
      <c r="J271" s="370" t="s">
        <v>1409</v>
      </c>
    </row>
    <row r="272" spans="1:10" ht="67.5" customHeight="1">
      <c r="A272" s="600" t="s">
        <v>970</v>
      </c>
      <c r="B272" s="560" t="s">
        <v>1680</v>
      </c>
      <c r="C272" s="370" t="s">
        <v>1681</v>
      </c>
      <c r="D272" s="596">
        <v>3000</v>
      </c>
      <c r="E272" s="596">
        <v>3000</v>
      </c>
      <c r="F272" s="596">
        <v>2900</v>
      </c>
      <c r="G272" s="594">
        <v>0</v>
      </c>
      <c r="H272" s="595">
        <v>20</v>
      </c>
      <c r="I272" s="161">
        <f t="shared" si="66"/>
        <v>2880</v>
      </c>
      <c r="J272" s="370" t="s">
        <v>1409</v>
      </c>
    </row>
    <row r="273" spans="1:10" ht="60" customHeight="1">
      <c r="A273" s="600" t="s">
        <v>971</v>
      </c>
      <c r="B273" s="639" t="s">
        <v>1682</v>
      </c>
      <c r="C273" s="370" t="s">
        <v>1683</v>
      </c>
      <c r="D273" s="596">
        <v>3000</v>
      </c>
      <c r="E273" s="596">
        <v>3000</v>
      </c>
      <c r="F273" s="596">
        <v>2550</v>
      </c>
      <c r="G273" s="594">
        <v>0</v>
      </c>
      <c r="H273" s="595">
        <v>60</v>
      </c>
      <c r="I273" s="161">
        <f t="shared" si="66"/>
        <v>2490</v>
      </c>
      <c r="J273" s="370" t="s">
        <v>1409</v>
      </c>
    </row>
    <row r="274" spans="1:10" ht="59.65" customHeight="1">
      <c r="A274" s="640" t="s">
        <v>972</v>
      </c>
      <c r="B274" s="641" t="s">
        <v>1738</v>
      </c>
      <c r="C274" s="548" t="s">
        <v>1737</v>
      </c>
      <c r="D274" s="642">
        <v>3500</v>
      </c>
      <c r="E274" s="642">
        <v>3500</v>
      </c>
      <c r="F274" s="596">
        <v>3500</v>
      </c>
      <c r="G274" s="594"/>
      <c r="H274" s="595">
        <v>43</v>
      </c>
      <c r="I274" s="161">
        <f t="shared" si="66"/>
        <v>3457</v>
      </c>
      <c r="J274" s="370" t="s">
        <v>1409</v>
      </c>
    </row>
    <row r="275" spans="1:10" ht="44.25" customHeight="1">
      <c r="A275" s="600" t="s">
        <v>973</v>
      </c>
      <c r="B275" s="560" t="s">
        <v>1684</v>
      </c>
      <c r="C275" s="370" t="s">
        <v>1685</v>
      </c>
      <c r="D275" s="596">
        <v>1700</v>
      </c>
      <c r="E275" s="596">
        <v>1700</v>
      </c>
      <c r="F275" s="596">
        <v>1700</v>
      </c>
      <c r="G275" s="594">
        <v>0</v>
      </c>
      <c r="H275" s="595">
        <v>79</v>
      </c>
      <c r="I275" s="161">
        <f t="shared" si="66"/>
        <v>1621</v>
      </c>
      <c r="J275" s="370" t="s">
        <v>1409</v>
      </c>
    </row>
    <row r="276" spans="1:10" ht="58.5" customHeight="1">
      <c r="A276" s="600" t="s">
        <v>974</v>
      </c>
      <c r="B276" s="560" t="s">
        <v>1686</v>
      </c>
      <c r="C276" s="370" t="s">
        <v>1687</v>
      </c>
      <c r="D276" s="596">
        <v>1500</v>
      </c>
      <c r="E276" s="596">
        <v>1500</v>
      </c>
      <c r="F276" s="596">
        <v>1500</v>
      </c>
      <c r="G276" s="594">
        <v>0</v>
      </c>
      <c r="H276" s="595">
        <v>7</v>
      </c>
      <c r="I276" s="161">
        <f t="shared" si="66"/>
        <v>1493</v>
      </c>
      <c r="J276" s="370" t="s">
        <v>1409</v>
      </c>
    </row>
    <row r="277" spans="1:10" ht="18" customHeight="1">
      <c r="A277" s="573" t="s">
        <v>97</v>
      </c>
      <c r="B277" s="574" t="s">
        <v>1438</v>
      </c>
      <c r="C277" s="370"/>
      <c r="D277" s="575">
        <f>SUM(D278:D280)</f>
        <v>3911.1111111111113</v>
      </c>
      <c r="E277" s="575">
        <f t="shared" ref="E277:I277" si="77">SUM(E278:E280)</f>
        <v>3799.9</v>
      </c>
      <c r="F277" s="575">
        <f t="shared" si="77"/>
        <v>3699.9</v>
      </c>
      <c r="G277" s="575">
        <f t="shared" si="77"/>
        <v>0</v>
      </c>
      <c r="H277" s="576">
        <f t="shared" si="77"/>
        <v>97</v>
      </c>
      <c r="I277" s="575">
        <f t="shared" si="77"/>
        <v>3602.9</v>
      </c>
      <c r="J277" s="599"/>
    </row>
    <row r="278" spans="1:10" ht="48" customHeight="1">
      <c r="A278" s="600" t="s">
        <v>144</v>
      </c>
      <c r="B278" s="602" t="s">
        <v>1688</v>
      </c>
      <c r="C278" s="370" t="s">
        <v>1689</v>
      </c>
      <c r="D278" s="596">
        <v>1111.1111111111111</v>
      </c>
      <c r="E278" s="596">
        <v>1000</v>
      </c>
      <c r="F278" s="596">
        <v>900</v>
      </c>
      <c r="G278" s="594">
        <v>0</v>
      </c>
      <c r="H278" s="595">
        <v>59</v>
      </c>
      <c r="I278" s="161">
        <f t="shared" si="66"/>
        <v>841</v>
      </c>
      <c r="J278" s="370" t="s">
        <v>1409</v>
      </c>
    </row>
    <row r="279" spans="1:10" ht="42.4" customHeight="1">
      <c r="A279" s="600" t="s">
        <v>968</v>
      </c>
      <c r="B279" s="560" t="s">
        <v>1690</v>
      </c>
      <c r="C279" s="370" t="s">
        <v>1691</v>
      </c>
      <c r="D279" s="596">
        <v>1300</v>
      </c>
      <c r="E279" s="596">
        <v>1300</v>
      </c>
      <c r="F279" s="596">
        <v>1300</v>
      </c>
      <c r="G279" s="594">
        <v>0</v>
      </c>
      <c r="H279" s="595">
        <v>8</v>
      </c>
      <c r="I279" s="161">
        <f t="shared" si="66"/>
        <v>1292</v>
      </c>
      <c r="J279" s="370" t="s">
        <v>1409</v>
      </c>
    </row>
    <row r="280" spans="1:10" ht="50.25" customHeight="1">
      <c r="A280" s="600" t="s">
        <v>974</v>
      </c>
      <c r="B280" s="602" t="s">
        <v>1692</v>
      </c>
      <c r="C280" s="370" t="s">
        <v>1693</v>
      </c>
      <c r="D280" s="596">
        <v>1500</v>
      </c>
      <c r="E280" s="596">
        <v>1499.9</v>
      </c>
      <c r="F280" s="596">
        <v>1499.9</v>
      </c>
      <c r="G280" s="594">
        <v>0</v>
      </c>
      <c r="H280" s="595">
        <v>30</v>
      </c>
      <c r="I280" s="161">
        <f t="shared" si="66"/>
        <v>1469.9</v>
      </c>
      <c r="J280" s="370" t="s">
        <v>1409</v>
      </c>
    </row>
    <row r="281" spans="1:10" ht="40.5" customHeight="1">
      <c r="A281" s="573" t="s">
        <v>1585</v>
      </c>
      <c r="B281" s="574" t="s">
        <v>1445</v>
      </c>
      <c r="C281" s="370"/>
      <c r="D281" s="588">
        <f>SUM(D282:D283)</f>
        <v>9500</v>
      </c>
      <c r="E281" s="588">
        <f t="shared" ref="E281:I281" si="78">SUM(E282:E283)</f>
        <v>9500</v>
      </c>
      <c r="F281" s="588">
        <f t="shared" si="78"/>
        <v>9500</v>
      </c>
      <c r="G281" s="588">
        <f t="shared" si="78"/>
        <v>0</v>
      </c>
      <c r="H281" s="589">
        <f t="shared" si="78"/>
        <v>567</v>
      </c>
      <c r="I281" s="588">
        <f t="shared" si="78"/>
        <v>8933</v>
      </c>
      <c r="J281" s="590"/>
    </row>
    <row r="282" spans="1:10" ht="45.75" customHeight="1">
      <c r="A282" s="600" t="s">
        <v>144</v>
      </c>
      <c r="B282" s="592" t="s">
        <v>1694</v>
      </c>
      <c r="C282" s="370" t="s">
        <v>1695</v>
      </c>
      <c r="D282" s="596">
        <v>5500</v>
      </c>
      <c r="E282" s="596">
        <v>5500</v>
      </c>
      <c r="F282" s="596">
        <v>5500</v>
      </c>
      <c r="G282" s="596">
        <v>0</v>
      </c>
      <c r="H282" s="606">
        <v>208</v>
      </c>
      <c r="I282" s="161">
        <f t="shared" si="66"/>
        <v>5292</v>
      </c>
      <c r="J282" s="370" t="s">
        <v>1409</v>
      </c>
    </row>
    <row r="283" spans="1:10" ht="54.75" customHeight="1">
      <c r="A283" s="600" t="s">
        <v>547</v>
      </c>
      <c r="B283" s="592" t="s">
        <v>1696</v>
      </c>
      <c r="C283" s="370" t="s">
        <v>1697</v>
      </c>
      <c r="D283" s="596">
        <v>4000</v>
      </c>
      <c r="E283" s="596">
        <v>4000</v>
      </c>
      <c r="F283" s="596">
        <v>4000</v>
      </c>
      <c r="G283" s="596">
        <v>0</v>
      </c>
      <c r="H283" s="606">
        <v>359</v>
      </c>
      <c r="I283" s="161">
        <f t="shared" si="66"/>
        <v>3641</v>
      </c>
      <c r="J283" s="370" t="s">
        <v>1409</v>
      </c>
    </row>
    <row r="284" spans="1:10" ht="57" customHeight="1">
      <c r="A284" s="573" t="s">
        <v>587</v>
      </c>
      <c r="B284" s="574" t="s">
        <v>1451</v>
      </c>
      <c r="C284" s="370"/>
      <c r="D284" s="575">
        <f>SUM(D285:D286)</f>
        <v>8845</v>
      </c>
      <c r="E284" s="575">
        <f t="shared" ref="E284:I284" si="79">SUM(E285:E286)</f>
        <v>8845</v>
      </c>
      <c r="F284" s="575">
        <f t="shared" si="79"/>
        <v>8845</v>
      </c>
      <c r="G284" s="575">
        <f t="shared" si="79"/>
        <v>0</v>
      </c>
      <c r="H284" s="576">
        <f t="shared" si="79"/>
        <v>124</v>
      </c>
      <c r="I284" s="575">
        <f t="shared" si="79"/>
        <v>8721</v>
      </c>
      <c r="J284" s="370"/>
    </row>
    <row r="285" spans="1:10" ht="57" customHeight="1">
      <c r="A285" s="604">
        <v>1</v>
      </c>
      <c r="B285" s="592" t="s">
        <v>1698</v>
      </c>
      <c r="C285" s="370" t="s">
        <v>1699</v>
      </c>
      <c r="D285" s="596">
        <v>4320</v>
      </c>
      <c r="E285" s="596">
        <v>4320</v>
      </c>
      <c r="F285" s="596">
        <v>4320</v>
      </c>
      <c r="G285" s="594">
        <v>0</v>
      </c>
      <c r="H285" s="595">
        <v>76</v>
      </c>
      <c r="I285" s="161">
        <f t="shared" si="66"/>
        <v>4244</v>
      </c>
      <c r="J285" s="370" t="s">
        <v>1409</v>
      </c>
    </row>
    <row r="286" spans="1:10" ht="57" customHeight="1">
      <c r="A286" s="604">
        <v>2</v>
      </c>
      <c r="B286" s="592" t="s">
        <v>1700</v>
      </c>
      <c r="C286" s="370" t="s">
        <v>1701</v>
      </c>
      <c r="D286" s="596">
        <v>4525</v>
      </c>
      <c r="E286" s="596">
        <v>4525</v>
      </c>
      <c r="F286" s="596">
        <v>4525</v>
      </c>
      <c r="G286" s="594">
        <v>0</v>
      </c>
      <c r="H286" s="595">
        <v>48</v>
      </c>
      <c r="I286" s="161">
        <f t="shared" si="66"/>
        <v>4477</v>
      </c>
      <c r="J286" s="370"/>
    </row>
    <row r="287" spans="1:10" ht="29.65" customHeight="1">
      <c r="A287" s="555" t="s">
        <v>1980</v>
      </c>
      <c r="B287" s="574" t="s">
        <v>1703</v>
      </c>
      <c r="C287" s="370"/>
      <c r="D287" s="588">
        <f>D288</f>
        <v>9242</v>
      </c>
      <c r="E287" s="588">
        <f t="shared" ref="E287:I288" si="80">E288</f>
        <v>9242</v>
      </c>
      <c r="F287" s="588">
        <f t="shared" si="80"/>
        <v>9020</v>
      </c>
      <c r="G287" s="588">
        <f t="shared" si="80"/>
        <v>0</v>
      </c>
      <c r="H287" s="589">
        <f t="shared" si="80"/>
        <v>238</v>
      </c>
      <c r="I287" s="588">
        <f t="shared" si="80"/>
        <v>8782</v>
      </c>
      <c r="J287" s="590"/>
    </row>
    <row r="288" spans="1:10" ht="96.75" customHeight="1">
      <c r="A288" s="573" t="s">
        <v>587</v>
      </c>
      <c r="B288" s="574" t="s">
        <v>1401</v>
      </c>
      <c r="C288" s="370"/>
      <c r="D288" s="588">
        <f>D289</f>
        <v>9242</v>
      </c>
      <c r="E288" s="588">
        <f t="shared" si="80"/>
        <v>9242</v>
      </c>
      <c r="F288" s="588">
        <f t="shared" si="80"/>
        <v>9020</v>
      </c>
      <c r="G288" s="588">
        <f t="shared" si="80"/>
        <v>0</v>
      </c>
      <c r="H288" s="589">
        <f t="shared" si="80"/>
        <v>238</v>
      </c>
      <c r="I288" s="588">
        <f t="shared" si="80"/>
        <v>8782</v>
      </c>
      <c r="J288" s="590"/>
    </row>
    <row r="289" spans="1:13" ht="23.25" customHeight="1">
      <c r="A289" s="573" t="s">
        <v>1704</v>
      </c>
      <c r="B289" s="574" t="s">
        <v>1405</v>
      </c>
      <c r="C289" s="370"/>
      <c r="D289" s="588">
        <f>D290+D293</f>
        <v>9242</v>
      </c>
      <c r="E289" s="588">
        <f t="shared" ref="E289:I289" si="81">E290+E293</f>
        <v>9242</v>
      </c>
      <c r="F289" s="588">
        <f t="shared" si="81"/>
        <v>9020</v>
      </c>
      <c r="G289" s="588">
        <f t="shared" si="81"/>
        <v>0</v>
      </c>
      <c r="H289" s="589">
        <f t="shared" si="81"/>
        <v>238</v>
      </c>
      <c r="I289" s="588">
        <f t="shared" si="81"/>
        <v>8782</v>
      </c>
      <c r="J289" s="370"/>
    </row>
    <row r="290" spans="1:13" ht="21" customHeight="1">
      <c r="A290" s="573" t="s">
        <v>96</v>
      </c>
      <c r="B290" s="574" t="s">
        <v>1406</v>
      </c>
      <c r="C290" s="370"/>
      <c r="D290" s="588">
        <f>SUM(D291:D292)</f>
        <v>6800</v>
      </c>
      <c r="E290" s="588">
        <f t="shared" ref="E290:I290" si="82">SUM(E291:E292)</f>
        <v>6800</v>
      </c>
      <c r="F290" s="588">
        <f t="shared" si="82"/>
        <v>6800</v>
      </c>
      <c r="G290" s="588">
        <f t="shared" si="82"/>
        <v>0</v>
      </c>
      <c r="H290" s="589">
        <f t="shared" si="82"/>
        <v>169</v>
      </c>
      <c r="I290" s="588">
        <f t="shared" si="82"/>
        <v>6631</v>
      </c>
      <c r="J290" s="370"/>
    </row>
    <row r="291" spans="1:13" ht="96.75" customHeight="1">
      <c r="A291" s="600" t="s">
        <v>144</v>
      </c>
      <c r="B291" s="614" t="s">
        <v>1705</v>
      </c>
      <c r="C291" s="370" t="s">
        <v>1706</v>
      </c>
      <c r="D291" s="596">
        <v>3500</v>
      </c>
      <c r="E291" s="596">
        <v>3500</v>
      </c>
      <c r="F291" s="596">
        <v>3500</v>
      </c>
      <c r="G291" s="596"/>
      <c r="H291" s="606">
        <v>105</v>
      </c>
      <c r="I291" s="161">
        <f t="shared" si="66"/>
        <v>3395</v>
      </c>
      <c r="J291" s="370" t="s">
        <v>1409</v>
      </c>
    </row>
    <row r="292" spans="1:13" ht="107.25" customHeight="1">
      <c r="A292" s="600" t="s">
        <v>547</v>
      </c>
      <c r="B292" s="614" t="s">
        <v>1707</v>
      </c>
      <c r="C292" s="370" t="s">
        <v>1708</v>
      </c>
      <c r="D292" s="596">
        <v>3300</v>
      </c>
      <c r="E292" s="596">
        <v>3300</v>
      </c>
      <c r="F292" s="596">
        <v>3300</v>
      </c>
      <c r="G292" s="596"/>
      <c r="H292" s="606">
        <v>64</v>
      </c>
      <c r="I292" s="161">
        <f t="shared" si="66"/>
        <v>3236</v>
      </c>
      <c r="J292" s="370" t="s">
        <v>1409</v>
      </c>
    </row>
    <row r="293" spans="1:13" ht="22.5" customHeight="1">
      <c r="A293" s="573" t="s">
        <v>97</v>
      </c>
      <c r="B293" s="574" t="s">
        <v>1438</v>
      </c>
      <c r="C293" s="370"/>
      <c r="D293" s="575">
        <f>D294</f>
        <v>2442</v>
      </c>
      <c r="E293" s="575">
        <f t="shared" ref="E293:I293" si="83">E294</f>
        <v>2442</v>
      </c>
      <c r="F293" s="575">
        <f t="shared" si="83"/>
        <v>2220</v>
      </c>
      <c r="G293" s="575">
        <f t="shared" si="83"/>
        <v>0</v>
      </c>
      <c r="H293" s="576">
        <f t="shared" si="83"/>
        <v>69</v>
      </c>
      <c r="I293" s="575">
        <f t="shared" si="83"/>
        <v>2151</v>
      </c>
      <c r="J293" s="599"/>
    </row>
    <row r="294" spans="1:13" ht="73.150000000000006" customHeight="1">
      <c r="A294" s="600" t="s">
        <v>144</v>
      </c>
      <c r="B294" s="614" t="s">
        <v>1709</v>
      </c>
      <c r="C294" s="370" t="s">
        <v>1710</v>
      </c>
      <c r="D294" s="596">
        <v>2442</v>
      </c>
      <c r="E294" s="596">
        <v>2442</v>
      </c>
      <c r="F294" s="596">
        <v>2220</v>
      </c>
      <c r="G294" s="594"/>
      <c r="H294" s="595">
        <v>69</v>
      </c>
      <c r="I294" s="161">
        <f t="shared" si="66"/>
        <v>2151</v>
      </c>
      <c r="J294" s="370" t="s">
        <v>1409</v>
      </c>
    </row>
    <row r="295" spans="1:13" ht="38.25" customHeight="1">
      <c r="A295" s="366" t="s">
        <v>39</v>
      </c>
      <c r="B295" s="367" t="s">
        <v>1711</v>
      </c>
      <c r="C295" s="330"/>
      <c r="D295" s="158">
        <f>D296+D298+D300+D304</f>
        <v>136611</v>
      </c>
      <c r="E295" s="158">
        <f t="shared" ref="E295:I295" si="84">E296+E298+E300+E304</f>
        <v>35309</v>
      </c>
      <c r="F295" s="158">
        <f t="shared" si="84"/>
        <v>35305</v>
      </c>
      <c r="G295" s="158">
        <f t="shared" si="84"/>
        <v>7607</v>
      </c>
      <c r="H295" s="162">
        <f t="shared" si="84"/>
        <v>7607</v>
      </c>
      <c r="I295" s="158">
        <f t="shared" si="84"/>
        <v>35305</v>
      </c>
      <c r="J295" s="330"/>
      <c r="K295" s="326"/>
      <c r="L295" s="323"/>
      <c r="M295" s="323"/>
    </row>
    <row r="296" spans="1:13" ht="39" customHeight="1">
      <c r="A296" s="366" t="s">
        <v>33</v>
      </c>
      <c r="B296" s="371" t="s">
        <v>952</v>
      </c>
      <c r="C296" s="330"/>
      <c r="D296" s="158">
        <f t="shared" ref="D296:I296" si="85">SUM(D297:D297)</f>
        <v>5523</v>
      </c>
      <c r="E296" s="158">
        <f t="shared" si="85"/>
        <v>5260</v>
      </c>
      <c r="F296" s="158">
        <f t="shared" si="85"/>
        <v>5260</v>
      </c>
      <c r="G296" s="158">
        <f t="shared" si="85"/>
        <v>122</v>
      </c>
      <c r="H296" s="162">
        <f t="shared" si="85"/>
        <v>0</v>
      </c>
      <c r="I296" s="158">
        <f t="shared" si="85"/>
        <v>5382</v>
      </c>
      <c r="J296" s="330"/>
      <c r="K296" s="643"/>
    </row>
    <row r="297" spans="1:13" ht="57" customHeight="1">
      <c r="A297" s="582">
        <v>11</v>
      </c>
      <c r="B297" s="373" t="s">
        <v>1712</v>
      </c>
      <c r="C297" s="333" t="s">
        <v>1713</v>
      </c>
      <c r="D297" s="180">
        <v>5523</v>
      </c>
      <c r="E297" s="180">
        <v>5260</v>
      </c>
      <c r="F297" s="161">
        <v>5260</v>
      </c>
      <c r="G297" s="161">
        <v>122</v>
      </c>
      <c r="H297" s="162"/>
      <c r="I297" s="161">
        <f t="shared" ref="I297:I303" si="86">F297+G297-H297</f>
        <v>5382</v>
      </c>
      <c r="J297" s="370" t="s">
        <v>1714</v>
      </c>
      <c r="K297" s="644"/>
    </row>
    <row r="298" spans="1:13" ht="32.65" customHeight="1">
      <c r="A298" s="366" t="s">
        <v>34</v>
      </c>
      <c r="B298" s="371" t="s">
        <v>243</v>
      </c>
      <c r="C298" s="330"/>
      <c r="D298" s="158">
        <f>D299</f>
        <v>3640</v>
      </c>
      <c r="E298" s="158">
        <f t="shared" ref="E298:I298" si="87">E299</f>
        <v>3640</v>
      </c>
      <c r="F298" s="158">
        <f t="shared" si="87"/>
        <v>3636</v>
      </c>
      <c r="G298" s="158">
        <f t="shared" si="87"/>
        <v>0</v>
      </c>
      <c r="H298" s="162">
        <f t="shared" si="87"/>
        <v>8</v>
      </c>
      <c r="I298" s="158">
        <f t="shared" si="87"/>
        <v>3628</v>
      </c>
      <c r="J298" s="330"/>
    </row>
    <row r="299" spans="1:13" ht="55.5" customHeight="1">
      <c r="A299" s="372">
        <v>1</v>
      </c>
      <c r="B299" s="373" t="s">
        <v>1715</v>
      </c>
      <c r="C299" s="333" t="s">
        <v>1716</v>
      </c>
      <c r="D299" s="180">
        <v>3640</v>
      </c>
      <c r="E299" s="180">
        <v>3640</v>
      </c>
      <c r="F299" s="181">
        <v>3636</v>
      </c>
      <c r="G299" s="158"/>
      <c r="H299" s="182">
        <v>8</v>
      </c>
      <c r="I299" s="161">
        <f t="shared" si="86"/>
        <v>3628</v>
      </c>
      <c r="J299" s="330" t="s">
        <v>1409</v>
      </c>
    </row>
    <row r="300" spans="1:13" s="336" customFormat="1" ht="27.4" customHeight="1">
      <c r="A300" s="366" t="s">
        <v>66</v>
      </c>
      <c r="B300" s="371" t="s">
        <v>401</v>
      </c>
      <c r="C300" s="374"/>
      <c r="D300" s="158">
        <f t="shared" ref="D300:G300" si="88">SUM(D301:D303)</f>
        <v>5454</v>
      </c>
      <c r="E300" s="158">
        <f t="shared" si="88"/>
        <v>5454</v>
      </c>
      <c r="F300" s="158">
        <f t="shared" si="88"/>
        <v>5454</v>
      </c>
      <c r="G300" s="158">
        <f t="shared" si="88"/>
        <v>0</v>
      </c>
      <c r="H300" s="162">
        <f>SUM(H301:H303)</f>
        <v>1405</v>
      </c>
      <c r="I300" s="158">
        <f>SUM(I301:I303)</f>
        <v>4049</v>
      </c>
      <c r="J300" s="335"/>
    </row>
    <row r="301" spans="1:13" ht="46.5" customHeight="1">
      <c r="A301" s="375">
        <v>1</v>
      </c>
      <c r="B301" s="376" t="s">
        <v>1717</v>
      </c>
      <c r="C301" s="377" t="s">
        <v>1718</v>
      </c>
      <c r="D301" s="183">
        <v>1900</v>
      </c>
      <c r="E301" s="183">
        <v>1900</v>
      </c>
      <c r="F301" s="183">
        <v>1900</v>
      </c>
      <c r="G301" s="183">
        <v>0</v>
      </c>
      <c r="H301" s="619">
        <v>30</v>
      </c>
      <c r="I301" s="161">
        <f t="shared" si="86"/>
        <v>1870</v>
      </c>
      <c r="J301" s="541" t="s">
        <v>1719</v>
      </c>
    </row>
    <row r="302" spans="1:13" ht="51.75" customHeight="1">
      <c r="A302" s="375">
        <v>2</v>
      </c>
      <c r="B302" s="376" t="s">
        <v>1720</v>
      </c>
      <c r="C302" s="377" t="s">
        <v>1721</v>
      </c>
      <c r="D302" s="183">
        <v>2254</v>
      </c>
      <c r="E302" s="183">
        <v>2254</v>
      </c>
      <c r="F302" s="183">
        <v>2254</v>
      </c>
      <c r="G302" s="183">
        <v>0</v>
      </c>
      <c r="H302" s="619">
        <v>75</v>
      </c>
      <c r="I302" s="161">
        <f t="shared" si="86"/>
        <v>2179</v>
      </c>
      <c r="J302" s="541" t="s">
        <v>1719</v>
      </c>
    </row>
    <row r="303" spans="1:13" ht="36.950000000000003" customHeight="1">
      <c r="A303" s="375">
        <v>3</v>
      </c>
      <c r="B303" s="183" t="s">
        <v>1967</v>
      </c>
      <c r="C303" s="183"/>
      <c r="D303" s="183">
        <v>1300</v>
      </c>
      <c r="E303" s="183">
        <v>1300</v>
      </c>
      <c r="F303" s="183">
        <v>1300</v>
      </c>
      <c r="G303" s="183"/>
      <c r="H303" s="184">
        <v>1300</v>
      </c>
      <c r="I303" s="161">
        <f t="shared" si="86"/>
        <v>0</v>
      </c>
      <c r="J303" s="183" t="s">
        <v>1099</v>
      </c>
    </row>
    <row r="304" spans="1:13" s="336" customFormat="1" ht="27.4" customHeight="1">
      <c r="A304" s="366" t="s">
        <v>131</v>
      </c>
      <c r="B304" s="371" t="s">
        <v>400</v>
      </c>
      <c r="C304" s="374"/>
      <c r="D304" s="158">
        <f>SUM(D305:D312)</f>
        <v>121994</v>
      </c>
      <c r="E304" s="158">
        <f t="shared" ref="E304:I304" si="89">SUM(E305:E312)</f>
        <v>20955</v>
      </c>
      <c r="F304" s="158">
        <f t="shared" si="89"/>
        <v>20955</v>
      </c>
      <c r="G304" s="158">
        <f t="shared" si="89"/>
        <v>7485</v>
      </c>
      <c r="H304" s="162">
        <f t="shared" si="89"/>
        <v>6194</v>
      </c>
      <c r="I304" s="158">
        <f t="shared" si="89"/>
        <v>22246</v>
      </c>
      <c r="J304" s="335"/>
    </row>
    <row r="305" spans="1:10" ht="73.150000000000006" customHeight="1">
      <c r="A305" s="375">
        <v>1</v>
      </c>
      <c r="B305" s="376" t="s">
        <v>1968</v>
      </c>
      <c r="C305" s="377"/>
      <c r="D305" s="183">
        <v>2694</v>
      </c>
      <c r="E305" s="183">
        <v>2694</v>
      </c>
      <c r="F305" s="183">
        <v>2694</v>
      </c>
      <c r="G305" s="183"/>
      <c r="H305" s="184">
        <v>2694</v>
      </c>
      <c r="I305" s="161">
        <f t="shared" ref="I305:I312" si="90">F305+G305-H305</f>
        <v>0</v>
      </c>
      <c r="J305" s="377" t="s">
        <v>1969</v>
      </c>
    </row>
    <row r="306" spans="1:10" ht="69.400000000000006">
      <c r="A306" s="375">
        <v>2</v>
      </c>
      <c r="B306" s="376" t="s">
        <v>1729</v>
      </c>
      <c r="C306" s="376" t="s">
        <v>1728</v>
      </c>
      <c r="D306" s="183">
        <v>5000</v>
      </c>
      <c r="E306" s="183">
        <v>3500</v>
      </c>
      <c r="F306" s="183">
        <v>3500</v>
      </c>
      <c r="G306" s="183"/>
      <c r="H306" s="184">
        <v>3500</v>
      </c>
      <c r="I306" s="161">
        <f t="shared" si="90"/>
        <v>0</v>
      </c>
      <c r="J306" s="375" t="s">
        <v>2008</v>
      </c>
    </row>
    <row r="307" spans="1:10" ht="57" customHeight="1">
      <c r="A307" s="645">
        <v>3</v>
      </c>
      <c r="B307" s="376" t="s">
        <v>1992</v>
      </c>
      <c r="C307" s="376" t="s">
        <v>1993</v>
      </c>
      <c r="D307" s="183">
        <v>39800</v>
      </c>
      <c r="E307" s="646">
        <v>14761</v>
      </c>
      <c r="F307" s="646">
        <v>14761</v>
      </c>
      <c r="G307" s="183">
        <v>1200</v>
      </c>
      <c r="H307" s="184"/>
      <c r="I307" s="161">
        <f t="shared" si="90"/>
        <v>15961</v>
      </c>
      <c r="J307" s="647" t="s">
        <v>2003</v>
      </c>
    </row>
    <row r="308" spans="1:10" ht="64.5" customHeight="1">
      <c r="A308" s="375">
        <v>4</v>
      </c>
      <c r="B308" s="376" t="s">
        <v>1007</v>
      </c>
      <c r="C308" s="376" t="s">
        <v>1971</v>
      </c>
      <c r="D308" s="183">
        <v>14900</v>
      </c>
      <c r="E308" s="376"/>
      <c r="F308" s="376"/>
      <c r="G308" s="183">
        <v>3000</v>
      </c>
      <c r="H308" s="378"/>
      <c r="I308" s="161">
        <f t="shared" si="90"/>
        <v>3000</v>
      </c>
      <c r="J308" s="375" t="s">
        <v>1970</v>
      </c>
    </row>
    <row r="309" spans="1:10" ht="64.5" customHeight="1">
      <c r="A309" s="375">
        <v>5</v>
      </c>
      <c r="B309" s="376" t="s">
        <v>1008</v>
      </c>
      <c r="C309" s="376" t="s">
        <v>1972</v>
      </c>
      <c r="D309" s="183">
        <v>14900</v>
      </c>
      <c r="E309" s="376"/>
      <c r="F309" s="376"/>
      <c r="G309" s="183">
        <v>300</v>
      </c>
      <c r="H309" s="378"/>
      <c r="I309" s="161">
        <f t="shared" si="90"/>
        <v>300</v>
      </c>
      <c r="J309" s="375" t="s">
        <v>1970</v>
      </c>
    </row>
    <row r="310" spans="1:10" ht="64.5" customHeight="1">
      <c r="A310" s="375">
        <v>6</v>
      </c>
      <c r="B310" s="376" t="s">
        <v>1009</v>
      </c>
      <c r="C310" s="376" t="s">
        <v>1973</v>
      </c>
      <c r="D310" s="183">
        <v>14900</v>
      </c>
      <c r="E310" s="376"/>
      <c r="F310" s="376"/>
      <c r="G310" s="183">
        <v>300</v>
      </c>
      <c r="H310" s="378"/>
      <c r="I310" s="161">
        <f t="shared" si="90"/>
        <v>300</v>
      </c>
      <c r="J310" s="375" t="s">
        <v>1970</v>
      </c>
    </row>
    <row r="311" spans="1:10" ht="64.5" customHeight="1">
      <c r="A311" s="375">
        <v>7</v>
      </c>
      <c r="B311" s="376" t="s">
        <v>1010</v>
      </c>
      <c r="C311" s="376" t="s">
        <v>1974</v>
      </c>
      <c r="D311" s="183">
        <v>14900</v>
      </c>
      <c r="E311" s="376"/>
      <c r="F311" s="376"/>
      <c r="G311" s="183">
        <v>300</v>
      </c>
      <c r="H311" s="378"/>
      <c r="I311" s="161">
        <f t="shared" si="90"/>
        <v>300</v>
      </c>
      <c r="J311" s="375" t="s">
        <v>1970</v>
      </c>
    </row>
    <row r="312" spans="1:10" ht="64.5" customHeight="1">
      <c r="A312" s="375">
        <v>8</v>
      </c>
      <c r="B312" s="376" t="s">
        <v>1011</v>
      </c>
      <c r="C312" s="376" t="s">
        <v>1975</v>
      </c>
      <c r="D312" s="183">
        <v>14900</v>
      </c>
      <c r="E312" s="376"/>
      <c r="F312" s="376"/>
      <c r="G312" s="183">
        <v>2385</v>
      </c>
      <c r="H312" s="378"/>
      <c r="I312" s="161">
        <f t="shared" si="90"/>
        <v>2385</v>
      </c>
      <c r="J312" s="375" t="s">
        <v>1970</v>
      </c>
    </row>
  </sheetData>
  <autoFilter ref="H1:H312"/>
  <mergeCells count="15">
    <mergeCell ref="A1:J1"/>
    <mergeCell ref="A2:J4"/>
    <mergeCell ref="A5:J5"/>
    <mergeCell ref="A7:A9"/>
    <mergeCell ref="B7:B9"/>
    <mergeCell ref="C7:E7"/>
    <mergeCell ref="F7:F9"/>
    <mergeCell ref="G7:H7"/>
    <mergeCell ref="I7:I9"/>
    <mergeCell ref="J7:J9"/>
    <mergeCell ref="C8:C9"/>
    <mergeCell ref="D8:D9"/>
    <mergeCell ref="E8:E9"/>
    <mergeCell ref="G8:G9"/>
    <mergeCell ref="H8:H9"/>
  </mergeCells>
  <conditionalFormatting sqref="B40">
    <cfRule type="duplicateValues" dxfId="32" priority="10" stopIfTrue="1"/>
  </conditionalFormatting>
  <conditionalFormatting sqref="B41">
    <cfRule type="duplicateValues" dxfId="31" priority="8" stopIfTrue="1"/>
  </conditionalFormatting>
  <conditionalFormatting sqref="B42">
    <cfRule type="duplicateValues" dxfId="30" priority="5" stopIfTrue="1"/>
  </conditionalFormatting>
  <conditionalFormatting sqref="B44">
    <cfRule type="duplicateValues" dxfId="29" priority="9" stopIfTrue="1"/>
  </conditionalFormatting>
  <conditionalFormatting sqref="B45 B43 B37:B39 B33:B34">
    <cfRule type="duplicateValues" dxfId="28" priority="12" stopIfTrue="1"/>
  </conditionalFormatting>
  <conditionalFormatting sqref="B46">
    <cfRule type="duplicateValues" dxfId="27" priority="6" stopIfTrue="1"/>
  </conditionalFormatting>
  <conditionalFormatting sqref="B48">
    <cfRule type="duplicateValues" dxfId="26" priority="11" stopIfTrue="1"/>
  </conditionalFormatting>
  <conditionalFormatting sqref="B49">
    <cfRule type="duplicateValues" dxfId="25" priority="7" stopIfTrue="1"/>
  </conditionalFormatting>
  <conditionalFormatting sqref="B50">
    <cfRule type="duplicateValues" dxfId="24" priority="3" stopIfTrue="1"/>
  </conditionalFormatting>
  <conditionalFormatting sqref="B51:B52">
    <cfRule type="duplicateValues" dxfId="23" priority="4" stopIfTrue="1"/>
  </conditionalFormatting>
  <conditionalFormatting sqref="G20:H21 G30:H30 G33:H50 G54:H57 G60:H70 G73:H74 G77:H79 G81:H85">
    <cfRule type="cellIs" dxfId="22" priority="2" stopIfTrue="1" operator="lessThan">
      <formula>0</formula>
    </cfRule>
  </conditionalFormatting>
  <conditionalFormatting sqref="J52">
    <cfRule type="duplicateValues" dxfId="21" priority="1" stopIfTrue="1"/>
  </conditionalFormatting>
  <pageMargins left="0.19685039370078741" right="0.19685039370078741" top="0.31496062992125984" bottom="0.19685039370078741" header="0.31496062992125984" footer="0.19685039370078741"/>
  <pageSetup paperSize="9" scale="90" firstPageNumber="5" fitToHeight="0"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dimension ref="A1:AW556"/>
  <sheetViews>
    <sheetView showZeros="0" view="pageBreakPreview" zoomScale="55" zoomScaleNormal="55" zoomScaleSheetLayoutView="55" workbookViewId="0">
      <selection activeCell="B232" sqref="B232"/>
    </sheetView>
  </sheetViews>
  <sheetFormatPr defaultRowHeight="17.649999999999999"/>
  <cols>
    <col min="1" max="1" width="7.59765625" style="438" customWidth="1"/>
    <col min="2" max="2" width="39.86328125" style="439" customWidth="1"/>
    <col min="3" max="4" width="10" style="440" hidden="1" customWidth="1"/>
    <col min="5" max="5" width="10.3984375" style="440" hidden="1" customWidth="1"/>
    <col min="6" max="6" width="9.3984375" style="440" hidden="1" customWidth="1"/>
    <col min="7" max="7" width="21.3984375" style="440" customWidth="1"/>
    <col min="8" max="9" width="14.73046875" style="436" customWidth="1"/>
    <col min="10" max="10" width="14.73046875" style="436" hidden="1" customWidth="1"/>
    <col min="11" max="11" width="14" style="436" hidden="1" customWidth="1"/>
    <col min="12" max="13" width="14.3984375" style="436" hidden="1" customWidth="1"/>
    <col min="14" max="17" width="12.86328125" style="436" hidden="1" customWidth="1"/>
    <col min="18" max="19" width="14.86328125" style="436" hidden="1" customWidth="1"/>
    <col min="20" max="20" width="15.3984375" style="436" customWidth="1"/>
    <col min="21" max="21" width="12.86328125" style="436" customWidth="1"/>
    <col min="22" max="22" width="13" style="436" customWidth="1"/>
    <col min="23" max="23" width="11.1328125" style="436" customWidth="1"/>
    <col min="24" max="24" width="13.86328125" style="436" customWidth="1"/>
    <col min="25" max="26" width="12.3984375" style="436" customWidth="1"/>
    <col min="27" max="27" width="10.86328125" style="436" customWidth="1"/>
    <col min="28" max="28" width="13.265625" style="436" customWidth="1"/>
    <col min="29" max="33" width="11.86328125" style="436" customWidth="1"/>
    <col min="34" max="34" width="14" style="436" customWidth="1"/>
    <col min="35" max="37" width="11.86328125" style="436" customWidth="1"/>
    <col min="38" max="38" width="21.73046875" style="436" customWidth="1"/>
    <col min="39" max="39" width="15.265625" style="436" customWidth="1"/>
    <col min="40" max="40" width="13.1328125" style="382" customWidth="1"/>
    <col min="41" max="42" width="8.86328125" style="382" customWidth="1"/>
    <col min="43" max="43" width="12.86328125" style="382" customWidth="1"/>
    <col min="44" max="47" width="8.86328125" style="382" customWidth="1"/>
    <col min="48" max="48" width="15.3984375" style="382" customWidth="1"/>
    <col min="49" max="49" width="14.265625" style="382" customWidth="1"/>
    <col min="50" max="262" width="9.1328125" style="382"/>
    <col min="263" max="263" width="8.265625" style="382" customWidth="1"/>
    <col min="264" max="264" width="42" style="382" customWidth="1"/>
    <col min="265" max="266" width="10" style="382" customWidth="1"/>
    <col min="267" max="267" width="10.3984375" style="382" customWidth="1"/>
    <col min="268" max="268" width="9.3984375" style="382" customWidth="1"/>
    <col min="269" max="269" width="16.265625" style="382" customWidth="1"/>
    <col min="270" max="271" width="14.73046875" style="382" customWidth="1"/>
    <col min="272" max="281" width="0" style="382" hidden="1" customWidth="1"/>
    <col min="282" max="282" width="15.3984375" style="382" customWidth="1"/>
    <col min="283" max="283" width="14.1328125" style="382" customWidth="1"/>
    <col min="284" max="285" width="14" style="382" customWidth="1"/>
    <col min="286" max="286" width="15.1328125" style="382" customWidth="1"/>
    <col min="287" max="289" width="12.3984375" style="382" customWidth="1"/>
    <col min="290" max="290" width="14" style="382" customWidth="1"/>
    <col min="291" max="293" width="11.86328125" style="382" customWidth="1"/>
    <col min="294" max="294" width="22.3984375" style="382" customWidth="1"/>
    <col min="295" max="295" width="15.265625" style="382" customWidth="1"/>
    <col min="296" max="296" width="13.1328125" style="382" customWidth="1"/>
    <col min="297" max="298" width="8.86328125" style="382" customWidth="1"/>
    <col min="299" max="299" width="12.86328125" style="382" customWidth="1"/>
    <col min="300" max="303" width="8.86328125" style="382" customWidth="1"/>
    <col min="304" max="304" width="15.3984375" style="382" customWidth="1"/>
    <col min="305" max="305" width="14.265625" style="382" customWidth="1"/>
    <col min="306" max="518" width="9.1328125" style="382"/>
    <col min="519" max="519" width="8.265625" style="382" customWidth="1"/>
    <col min="520" max="520" width="42" style="382" customWidth="1"/>
    <col min="521" max="522" width="10" style="382" customWidth="1"/>
    <col min="523" max="523" width="10.3984375" style="382" customWidth="1"/>
    <col min="524" max="524" width="9.3984375" style="382" customWidth="1"/>
    <col min="525" max="525" width="16.265625" style="382" customWidth="1"/>
    <col min="526" max="527" width="14.73046875" style="382" customWidth="1"/>
    <col min="528" max="537" width="0" style="382" hidden="1" customWidth="1"/>
    <col min="538" max="538" width="15.3984375" style="382" customWidth="1"/>
    <col min="539" max="539" width="14.1328125" style="382" customWidth="1"/>
    <col min="540" max="541" width="14" style="382" customWidth="1"/>
    <col min="542" max="542" width="15.1328125" style="382" customWidth="1"/>
    <col min="543" max="545" width="12.3984375" style="382" customWidth="1"/>
    <col min="546" max="546" width="14" style="382" customWidth="1"/>
    <col min="547" max="549" width="11.86328125" style="382" customWidth="1"/>
    <col min="550" max="550" width="22.3984375" style="382" customWidth="1"/>
    <col min="551" max="551" width="15.265625" style="382" customWidth="1"/>
    <col min="552" max="552" width="13.1328125" style="382" customWidth="1"/>
    <col min="553" max="554" width="8.86328125" style="382" customWidth="1"/>
    <col min="555" max="555" width="12.86328125" style="382" customWidth="1"/>
    <col min="556" max="559" width="8.86328125" style="382" customWidth="1"/>
    <col min="560" max="560" width="15.3984375" style="382" customWidth="1"/>
    <col min="561" max="561" width="14.265625" style="382" customWidth="1"/>
    <col min="562" max="774" width="9.1328125" style="382"/>
    <col min="775" max="775" width="8.265625" style="382" customWidth="1"/>
    <col min="776" max="776" width="42" style="382" customWidth="1"/>
    <col min="777" max="778" width="10" style="382" customWidth="1"/>
    <col min="779" max="779" width="10.3984375" style="382" customWidth="1"/>
    <col min="780" max="780" width="9.3984375" style="382" customWidth="1"/>
    <col min="781" max="781" width="16.265625" style="382" customWidth="1"/>
    <col min="782" max="783" width="14.73046875" style="382" customWidth="1"/>
    <col min="784" max="793" width="0" style="382" hidden="1" customWidth="1"/>
    <col min="794" max="794" width="15.3984375" style="382" customWidth="1"/>
    <col min="795" max="795" width="14.1328125" style="382" customWidth="1"/>
    <col min="796" max="797" width="14" style="382" customWidth="1"/>
    <col min="798" max="798" width="15.1328125" style="382" customWidth="1"/>
    <col min="799" max="801" width="12.3984375" style="382" customWidth="1"/>
    <col min="802" max="802" width="14" style="382" customWidth="1"/>
    <col min="803" max="805" width="11.86328125" style="382" customWidth="1"/>
    <col min="806" max="806" width="22.3984375" style="382" customWidth="1"/>
    <col min="807" max="807" width="15.265625" style="382" customWidth="1"/>
    <col min="808" max="808" width="13.1328125" style="382" customWidth="1"/>
    <col min="809" max="810" width="8.86328125" style="382" customWidth="1"/>
    <col min="811" max="811" width="12.86328125" style="382" customWidth="1"/>
    <col min="812" max="815" width="8.86328125" style="382" customWidth="1"/>
    <col min="816" max="816" width="15.3984375" style="382" customWidth="1"/>
    <col min="817" max="817" width="14.265625" style="382" customWidth="1"/>
    <col min="818" max="1030" width="9.1328125" style="382"/>
    <col min="1031" max="1031" width="8.265625" style="382" customWidth="1"/>
    <col min="1032" max="1032" width="42" style="382" customWidth="1"/>
    <col min="1033" max="1034" width="10" style="382" customWidth="1"/>
    <col min="1035" max="1035" width="10.3984375" style="382" customWidth="1"/>
    <col min="1036" max="1036" width="9.3984375" style="382" customWidth="1"/>
    <col min="1037" max="1037" width="16.265625" style="382" customWidth="1"/>
    <col min="1038" max="1039" width="14.73046875" style="382" customWidth="1"/>
    <col min="1040" max="1049" width="0" style="382" hidden="1" customWidth="1"/>
    <col min="1050" max="1050" width="15.3984375" style="382" customWidth="1"/>
    <col min="1051" max="1051" width="14.1328125" style="382" customWidth="1"/>
    <col min="1052" max="1053" width="14" style="382" customWidth="1"/>
    <col min="1054" max="1054" width="15.1328125" style="382" customWidth="1"/>
    <col min="1055" max="1057" width="12.3984375" style="382" customWidth="1"/>
    <col min="1058" max="1058" width="14" style="382" customWidth="1"/>
    <col min="1059" max="1061" width="11.86328125" style="382" customWidth="1"/>
    <col min="1062" max="1062" width="22.3984375" style="382" customWidth="1"/>
    <col min="1063" max="1063" width="15.265625" style="382" customWidth="1"/>
    <col min="1064" max="1064" width="13.1328125" style="382" customWidth="1"/>
    <col min="1065" max="1066" width="8.86328125" style="382" customWidth="1"/>
    <col min="1067" max="1067" width="12.86328125" style="382" customWidth="1"/>
    <col min="1068" max="1071" width="8.86328125" style="382" customWidth="1"/>
    <col min="1072" max="1072" width="15.3984375" style="382" customWidth="1"/>
    <col min="1073" max="1073" width="14.265625" style="382" customWidth="1"/>
    <col min="1074" max="1286" width="9.1328125" style="382"/>
    <col min="1287" max="1287" width="8.265625" style="382" customWidth="1"/>
    <col min="1288" max="1288" width="42" style="382" customWidth="1"/>
    <col min="1289" max="1290" width="10" style="382" customWidth="1"/>
    <col min="1291" max="1291" width="10.3984375" style="382" customWidth="1"/>
    <col min="1292" max="1292" width="9.3984375" style="382" customWidth="1"/>
    <col min="1293" max="1293" width="16.265625" style="382" customWidth="1"/>
    <col min="1294" max="1295" width="14.73046875" style="382" customWidth="1"/>
    <col min="1296" max="1305" width="0" style="382" hidden="1" customWidth="1"/>
    <col min="1306" max="1306" width="15.3984375" style="382" customWidth="1"/>
    <col min="1307" max="1307" width="14.1328125" style="382" customWidth="1"/>
    <col min="1308" max="1309" width="14" style="382" customWidth="1"/>
    <col min="1310" max="1310" width="15.1328125" style="382" customWidth="1"/>
    <col min="1311" max="1313" width="12.3984375" style="382" customWidth="1"/>
    <col min="1314" max="1314" width="14" style="382" customWidth="1"/>
    <col min="1315" max="1317" width="11.86328125" style="382" customWidth="1"/>
    <col min="1318" max="1318" width="22.3984375" style="382" customWidth="1"/>
    <col min="1319" max="1319" width="15.265625" style="382" customWidth="1"/>
    <col min="1320" max="1320" width="13.1328125" style="382" customWidth="1"/>
    <col min="1321" max="1322" width="8.86328125" style="382" customWidth="1"/>
    <col min="1323" max="1323" width="12.86328125" style="382" customWidth="1"/>
    <col min="1324" max="1327" width="8.86328125" style="382" customWidth="1"/>
    <col min="1328" max="1328" width="15.3984375" style="382" customWidth="1"/>
    <col min="1329" max="1329" width="14.265625" style="382" customWidth="1"/>
    <col min="1330" max="1542" width="9.1328125" style="382"/>
    <col min="1543" max="1543" width="8.265625" style="382" customWidth="1"/>
    <col min="1544" max="1544" width="42" style="382" customWidth="1"/>
    <col min="1545" max="1546" width="10" style="382" customWidth="1"/>
    <col min="1547" max="1547" width="10.3984375" style="382" customWidth="1"/>
    <col min="1548" max="1548" width="9.3984375" style="382" customWidth="1"/>
    <col min="1549" max="1549" width="16.265625" style="382" customWidth="1"/>
    <col min="1550" max="1551" width="14.73046875" style="382" customWidth="1"/>
    <col min="1552" max="1561" width="0" style="382" hidden="1" customWidth="1"/>
    <col min="1562" max="1562" width="15.3984375" style="382" customWidth="1"/>
    <col min="1563" max="1563" width="14.1328125" style="382" customWidth="1"/>
    <col min="1564" max="1565" width="14" style="382" customWidth="1"/>
    <col min="1566" max="1566" width="15.1328125" style="382" customWidth="1"/>
    <col min="1567" max="1569" width="12.3984375" style="382" customWidth="1"/>
    <col min="1570" max="1570" width="14" style="382" customWidth="1"/>
    <col min="1571" max="1573" width="11.86328125" style="382" customWidth="1"/>
    <col min="1574" max="1574" width="22.3984375" style="382" customWidth="1"/>
    <col min="1575" max="1575" width="15.265625" style="382" customWidth="1"/>
    <col min="1576" max="1576" width="13.1328125" style="382" customWidth="1"/>
    <col min="1577" max="1578" width="8.86328125" style="382" customWidth="1"/>
    <col min="1579" max="1579" width="12.86328125" style="382" customWidth="1"/>
    <col min="1580" max="1583" width="8.86328125" style="382" customWidth="1"/>
    <col min="1584" max="1584" width="15.3984375" style="382" customWidth="1"/>
    <col min="1585" max="1585" width="14.265625" style="382" customWidth="1"/>
    <col min="1586" max="1798" width="9.1328125" style="382"/>
    <col min="1799" max="1799" width="8.265625" style="382" customWidth="1"/>
    <col min="1800" max="1800" width="42" style="382" customWidth="1"/>
    <col min="1801" max="1802" width="10" style="382" customWidth="1"/>
    <col min="1803" max="1803" width="10.3984375" style="382" customWidth="1"/>
    <col min="1804" max="1804" width="9.3984375" style="382" customWidth="1"/>
    <col min="1805" max="1805" width="16.265625" style="382" customWidth="1"/>
    <col min="1806" max="1807" width="14.73046875" style="382" customWidth="1"/>
    <col min="1808" max="1817" width="0" style="382" hidden="1" customWidth="1"/>
    <col min="1818" max="1818" width="15.3984375" style="382" customWidth="1"/>
    <col min="1819" max="1819" width="14.1328125" style="382" customWidth="1"/>
    <col min="1820" max="1821" width="14" style="382" customWidth="1"/>
    <col min="1822" max="1822" width="15.1328125" style="382" customWidth="1"/>
    <col min="1823" max="1825" width="12.3984375" style="382" customWidth="1"/>
    <col min="1826" max="1826" width="14" style="382" customWidth="1"/>
    <col min="1827" max="1829" width="11.86328125" style="382" customWidth="1"/>
    <col min="1830" max="1830" width="22.3984375" style="382" customWidth="1"/>
    <col min="1831" max="1831" width="15.265625" style="382" customWidth="1"/>
    <col min="1832" max="1832" width="13.1328125" style="382" customWidth="1"/>
    <col min="1833" max="1834" width="8.86328125" style="382" customWidth="1"/>
    <col min="1835" max="1835" width="12.86328125" style="382" customWidth="1"/>
    <col min="1836" max="1839" width="8.86328125" style="382" customWidth="1"/>
    <col min="1840" max="1840" width="15.3984375" style="382" customWidth="1"/>
    <col min="1841" max="1841" width="14.265625" style="382" customWidth="1"/>
    <col min="1842" max="2054" width="9.1328125" style="382"/>
    <col min="2055" max="2055" width="8.265625" style="382" customWidth="1"/>
    <col min="2056" max="2056" width="42" style="382" customWidth="1"/>
    <col min="2057" max="2058" width="10" style="382" customWidth="1"/>
    <col min="2059" max="2059" width="10.3984375" style="382" customWidth="1"/>
    <col min="2060" max="2060" width="9.3984375" style="382" customWidth="1"/>
    <col min="2061" max="2061" width="16.265625" style="382" customWidth="1"/>
    <col min="2062" max="2063" width="14.73046875" style="382" customWidth="1"/>
    <col min="2064" max="2073" width="0" style="382" hidden="1" customWidth="1"/>
    <col min="2074" max="2074" width="15.3984375" style="382" customWidth="1"/>
    <col min="2075" max="2075" width="14.1328125" style="382" customWidth="1"/>
    <col min="2076" max="2077" width="14" style="382" customWidth="1"/>
    <col min="2078" max="2078" width="15.1328125" style="382" customWidth="1"/>
    <col min="2079" max="2081" width="12.3984375" style="382" customWidth="1"/>
    <col min="2082" max="2082" width="14" style="382" customWidth="1"/>
    <col min="2083" max="2085" width="11.86328125" style="382" customWidth="1"/>
    <col min="2086" max="2086" width="22.3984375" style="382" customWidth="1"/>
    <col min="2087" max="2087" width="15.265625" style="382" customWidth="1"/>
    <col min="2088" max="2088" width="13.1328125" style="382" customWidth="1"/>
    <col min="2089" max="2090" width="8.86328125" style="382" customWidth="1"/>
    <col min="2091" max="2091" width="12.86328125" style="382" customWidth="1"/>
    <col min="2092" max="2095" width="8.86328125" style="382" customWidth="1"/>
    <col min="2096" max="2096" width="15.3984375" style="382" customWidth="1"/>
    <col min="2097" max="2097" width="14.265625" style="382" customWidth="1"/>
    <col min="2098" max="2310" width="9.1328125" style="382"/>
    <col min="2311" max="2311" width="8.265625" style="382" customWidth="1"/>
    <col min="2312" max="2312" width="42" style="382" customWidth="1"/>
    <col min="2313" max="2314" width="10" style="382" customWidth="1"/>
    <col min="2315" max="2315" width="10.3984375" style="382" customWidth="1"/>
    <col min="2316" max="2316" width="9.3984375" style="382" customWidth="1"/>
    <col min="2317" max="2317" width="16.265625" style="382" customWidth="1"/>
    <col min="2318" max="2319" width="14.73046875" style="382" customWidth="1"/>
    <col min="2320" max="2329" width="0" style="382" hidden="1" customWidth="1"/>
    <col min="2330" max="2330" width="15.3984375" style="382" customWidth="1"/>
    <col min="2331" max="2331" width="14.1328125" style="382" customWidth="1"/>
    <col min="2332" max="2333" width="14" style="382" customWidth="1"/>
    <col min="2334" max="2334" width="15.1328125" style="382" customWidth="1"/>
    <col min="2335" max="2337" width="12.3984375" style="382" customWidth="1"/>
    <col min="2338" max="2338" width="14" style="382" customWidth="1"/>
    <col min="2339" max="2341" width="11.86328125" style="382" customWidth="1"/>
    <col min="2342" max="2342" width="22.3984375" style="382" customWidth="1"/>
    <col min="2343" max="2343" width="15.265625" style="382" customWidth="1"/>
    <col min="2344" max="2344" width="13.1328125" style="382" customWidth="1"/>
    <col min="2345" max="2346" width="8.86328125" style="382" customWidth="1"/>
    <col min="2347" max="2347" width="12.86328125" style="382" customWidth="1"/>
    <col min="2348" max="2351" width="8.86328125" style="382" customWidth="1"/>
    <col min="2352" max="2352" width="15.3984375" style="382" customWidth="1"/>
    <col min="2353" max="2353" width="14.265625" style="382" customWidth="1"/>
    <col min="2354" max="2566" width="9.1328125" style="382"/>
    <col min="2567" max="2567" width="8.265625" style="382" customWidth="1"/>
    <col min="2568" max="2568" width="42" style="382" customWidth="1"/>
    <col min="2569" max="2570" width="10" style="382" customWidth="1"/>
    <col min="2571" max="2571" width="10.3984375" style="382" customWidth="1"/>
    <col min="2572" max="2572" width="9.3984375" style="382" customWidth="1"/>
    <col min="2573" max="2573" width="16.265625" style="382" customWidth="1"/>
    <col min="2574" max="2575" width="14.73046875" style="382" customWidth="1"/>
    <col min="2576" max="2585" width="0" style="382" hidden="1" customWidth="1"/>
    <col min="2586" max="2586" width="15.3984375" style="382" customWidth="1"/>
    <col min="2587" max="2587" width="14.1328125" style="382" customWidth="1"/>
    <col min="2588" max="2589" width="14" style="382" customWidth="1"/>
    <col min="2590" max="2590" width="15.1328125" style="382" customWidth="1"/>
    <col min="2591" max="2593" width="12.3984375" style="382" customWidth="1"/>
    <col min="2594" max="2594" width="14" style="382" customWidth="1"/>
    <col min="2595" max="2597" width="11.86328125" style="382" customWidth="1"/>
    <col min="2598" max="2598" width="22.3984375" style="382" customWidth="1"/>
    <col min="2599" max="2599" width="15.265625" style="382" customWidth="1"/>
    <col min="2600" max="2600" width="13.1328125" style="382" customWidth="1"/>
    <col min="2601" max="2602" width="8.86328125" style="382" customWidth="1"/>
    <col min="2603" max="2603" width="12.86328125" style="382" customWidth="1"/>
    <col min="2604" max="2607" width="8.86328125" style="382" customWidth="1"/>
    <col min="2608" max="2608" width="15.3984375" style="382" customWidth="1"/>
    <col min="2609" max="2609" width="14.265625" style="382" customWidth="1"/>
    <col min="2610" max="2822" width="9.1328125" style="382"/>
    <col min="2823" max="2823" width="8.265625" style="382" customWidth="1"/>
    <col min="2824" max="2824" width="42" style="382" customWidth="1"/>
    <col min="2825" max="2826" width="10" style="382" customWidth="1"/>
    <col min="2827" max="2827" width="10.3984375" style="382" customWidth="1"/>
    <col min="2828" max="2828" width="9.3984375" style="382" customWidth="1"/>
    <col min="2829" max="2829" width="16.265625" style="382" customWidth="1"/>
    <col min="2830" max="2831" width="14.73046875" style="382" customWidth="1"/>
    <col min="2832" max="2841" width="0" style="382" hidden="1" customWidth="1"/>
    <col min="2842" max="2842" width="15.3984375" style="382" customWidth="1"/>
    <col min="2843" max="2843" width="14.1328125" style="382" customWidth="1"/>
    <col min="2844" max="2845" width="14" style="382" customWidth="1"/>
    <col min="2846" max="2846" width="15.1328125" style="382" customWidth="1"/>
    <col min="2847" max="2849" width="12.3984375" style="382" customWidth="1"/>
    <col min="2850" max="2850" width="14" style="382" customWidth="1"/>
    <col min="2851" max="2853" width="11.86328125" style="382" customWidth="1"/>
    <col min="2854" max="2854" width="22.3984375" style="382" customWidth="1"/>
    <col min="2855" max="2855" width="15.265625" style="382" customWidth="1"/>
    <col min="2856" max="2856" width="13.1328125" style="382" customWidth="1"/>
    <col min="2857" max="2858" width="8.86328125" style="382" customWidth="1"/>
    <col min="2859" max="2859" width="12.86328125" style="382" customWidth="1"/>
    <col min="2860" max="2863" width="8.86328125" style="382" customWidth="1"/>
    <col min="2864" max="2864" width="15.3984375" style="382" customWidth="1"/>
    <col min="2865" max="2865" width="14.265625" style="382" customWidth="1"/>
    <col min="2866" max="3078" width="9.1328125" style="382"/>
    <col min="3079" max="3079" width="8.265625" style="382" customWidth="1"/>
    <col min="3080" max="3080" width="42" style="382" customWidth="1"/>
    <col min="3081" max="3082" width="10" style="382" customWidth="1"/>
    <col min="3083" max="3083" width="10.3984375" style="382" customWidth="1"/>
    <col min="3084" max="3084" width="9.3984375" style="382" customWidth="1"/>
    <col min="3085" max="3085" width="16.265625" style="382" customWidth="1"/>
    <col min="3086" max="3087" width="14.73046875" style="382" customWidth="1"/>
    <col min="3088" max="3097" width="0" style="382" hidden="1" customWidth="1"/>
    <col min="3098" max="3098" width="15.3984375" style="382" customWidth="1"/>
    <col min="3099" max="3099" width="14.1328125" style="382" customWidth="1"/>
    <col min="3100" max="3101" width="14" style="382" customWidth="1"/>
    <col min="3102" max="3102" width="15.1328125" style="382" customWidth="1"/>
    <col min="3103" max="3105" width="12.3984375" style="382" customWidth="1"/>
    <col min="3106" max="3106" width="14" style="382" customWidth="1"/>
    <col min="3107" max="3109" width="11.86328125" style="382" customWidth="1"/>
    <col min="3110" max="3110" width="22.3984375" style="382" customWidth="1"/>
    <col min="3111" max="3111" width="15.265625" style="382" customWidth="1"/>
    <col min="3112" max="3112" width="13.1328125" style="382" customWidth="1"/>
    <col min="3113" max="3114" width="8.86328125" style="382" customWidth="1"/>
    <col min="3115" max="3115" width="12.86328125" style="382" customWidth="1"/>
    <col min="3116" max="3119" width="8.86328125" style="382" customWidth="1"/>
    <col min="3120" max="3120" width="15.3984375" style="382" customWidth="1"/>
    <col min="3121" max="3121" width="14.265625" style="382" customWidth="1"/>
    <col min="3122" max="3334" width="9.1328125" style="382"/>
    <col min="3335" max="3335" width="8.265625" style="382" customWidth="1"/>
    <col min="3336" max="3336" width="42" style="382" customWidth="1"/>
    <col min="3337" max="3338" width="10" style="382" customWidth="1"/>
    <col min="3339" max="3339" width="10.3984375" style="382" customWidth="1"/>
    <col min="3340" max="3340" width="9.3984375" style="382" customWidth="1"/>
    <col min="3341" max="3341" width="16.265625" style="382" customWidth="1"/>
    <col min="3342" max="3343" width="14.73046875" style="382" customWidth="1"/>
    <col min="3344" max="3353" width="0" style="382" hidden="1" customWidth="1"/>
    <col min="3354" max="3354" width="15.3984375" style="382" customWidth="1"/>
    <col min="3355" max="3355" width="14.1328125" style="382" customWidth="1"/>
    <col min="3356" max="3357" width="14" style="382" customWidth="1"/>
    <col min="3358" max="3358" width="15.1328125" style="382" customWidth="1"/>
    <col min="3359" max="3361" width="12.3984375" style="382" customWidth="1"/>
    <col min="3362" max="3362" width="14" style="382" customWidth="1"/>
    <col min="3363" max="3365" width="11.86328125" style="382" customWidth="1"/>
    <col min="3366" max="3366" width="22.3984375" style="382" customWidth="1"/>
    <col min="3367" max="3367" width="15.265625" style="382" customWidth="1"/>
    <col min="3368" max="3368" width="13.1328125" style="382" customWidth="1"/>
    <col min="3369" max="3370" width="8.86328125" style="382" customWidth="1"/>
    <col min="3371" max="3371" width="12.86328125" style="382" customWidth="1"/>
    <col min="3372" max="3375" width="8.86328125" style="382" customWidth="1"/>
    <col min="3376" max="3376" width="15.3984375" style="382" customWidth="1"/>
    <col min="3377" max="3377" width="14.265625" style="382" customWidth="1"/>
    <col min="3378" max="3590" width="9.1328125" style="382"/>
    <col min="3591" max="3591" width="8.265625" style="382" customWidth="1"/>
    <col min="3592" max="3592" width="42" style="382" customWidth="1"/>
    <col min="3593" max="3594" width="10" style="382" customWidth="1"/>
    <col min="3595" max="3595" width="10.3984375" style="382" customWidth="1"/>
    <col min="3596" max="3596" width="9.3984375" style="382" customWidth="1"/>
    <col min="3597" max="3597" width="16.265625" style="382" customWidth="1"/>
    <col min="3598" max="3599" width="14.73046875" style="382" customWidth="1"/>
    <col min="3600" max="3609" width="0" style="382" hidden="1" customWidth="1"/>
    <col min="3610" max="3610" width="15.3984375" style="382" customWidth="1"/>
    <col min="3611" max="3611" width="14.1328125" style="382" customWidth="1"/>
    <col min="3612" max="3613" width="14" style="382" customWidth="1"/>
    <col min="3614" max="3614" width="15.1328125" style="382" customWidth="1"/>
    <col min="3615" max="3617" width="12.3984375" style="382" customWidth="1"/>
    <col min="3618" max="3618" width="14" style="382" customWidth="1"/>
    <col min="3619" max="3621" width="11.86328125" style="382" customWidth="1"/>
    <col min="3622" max="3622" width="22.3984375" style="382" customWidth="1"/>
    <col min="3623" max="3623" width="15.265625" style="382" customWidth="1"/>
    <col min="3624" max="3624" width="13.1328125" style="382" customWidth="1"/>
    <col min="3625" max="3626" width="8.86328125" style="382" customWidth="1"/>
    <col min="3627" max="3627" width="12.86328125" style="382" customWidth="1"/>
    <col min="3628" max="3631" width="8.86328125" style="382" customWidth="1"/>
    <col min="3632" max="3632" width="15.3984375" style="382" customWidth="1"/>
    <col min="3633" max="3633" width="14.265625" style="382" customWidth="1"/>
    <col min="3634" max="3846" width="9.1328125" style="382"/>
    <col min="3847" max="3847" width="8.265625" style="382" customWidth="1"/>
    <col min="3848" max="3848" width="42" style="382" customWidth="1"/>
    <col min="3849" max="3850" width="10" style="382" customWidth="1"/>
    <col min="3851" max="3851" width="10.3984375" style="382" customWidth="1"/>
    <col min="3852" max="3852" width="9.3984375" style="382" customWidth="1"/>
    <col min="3853" max="3853" width="16.265625" style="382" customWidth="1"/>
    <col min="3854" max="3855" width="14.73046875" style="382" customWidth="1"/>
    <col min="3856" max="3865" width="0" style="382" hidden="1" customWidth="1"/>
    <col min="3866" max="3866" width="15.3984375" style="382" customWidth="1"/>
    <col min="3867" max="3867" width="14.1328125" style="382" customWidth="1"/>
    <col min="3868" max="3869" width="14" style="382" customWidth="1"/>
    <col min="3870" max="3870" width="15.1328125" style="382" customWidth="1"/>
    <col min="3871" max="3873" width="12.3984375" style="382" customWidth="1"/>
    <col min="3874" max="3874" width="14" style="382" customWidth="1"/>
    <col min="3875" max="3877" width="11.86328125" style="382" customWidth="1"/>
    <col min="3878" max="3878" width="22.3984375" style="382" customWidth="1"/>
    <col min="3879" max="3879" width="15.265625" style="382" customWidth="1"/>
    <col min="3880" max="3880" width="13.1328125" style="382" customWidth="1"/>
    <col min="3881" max="3882" width="8.86328125" style="382" customWidth="1"/>
    <col min="3883" max="3883" width="12.86328125" style="382" customWidth="1"/>
    <col min="3884" max="3887" width="8.86328125" style="382" customWidth="1"/>
    <col min="3888" max="3888" width="15.3984375" style="382" customWidth="1"/>
    <col min="3889" max="3889" width="14.265625" style="382" customWidth="1"/>
    <col min="3890" max="4102" width="9.1328125" style="382"/>
    <col min="4103" max="4103" width="8.265625" style="382" customWidth="1"/>
    <col min="4104" max="4104" width="42" style="382" customWidth="1"/>
    <col min="4105" max="4106" width="10" style="382" customWidth="1"/>
    <col min="4107" max="4107" width="10.3984375" style="382" customWidth="1"/>
    <col min="4108" max="4108" width="9.3984375" style="382" customWidth="1"/>
    <col min="4109" max="4109" width="16.265625" style="382" customWidth="1"/>
    <col min="4110" max="4111" width="14.73046875" style="382" customWidth="1"/>
    <col min="4112" max="4121" width="0" style="382" hidden="1" customWidth="1"/>
    <col min="4122" max="4122" width="15.3984375" style="382" customWidth="1"/>
    <col min="4123" max="4123" width="14.1328125" style="382" customWidth="1"/>
    <col min="4124" max="4125" width="14" style="382" customWidth="1"/>
    <col min="4126" max="4126" width="15.1328125" style="382" customWidth="1"/>
    <col min="4127" max="4129" width="12.3984375" style="382" customWidth="1"/>
    <col min="4130" max="4130" width="14" style="382" customWidth="1"/>
    <col min="4131" max="4133" width="11.86328125" style="382" customWidth="1"/>
    <col min="4134" max="4134" width="22.3984375" style="382" customWidth="1"/>
    <col min="4135" max="4135" width="15.265625" style="382" customWidth="1"/>
    <col min="4136" max="4136" width="13.1328125" style="382" customWidth="1"/>
    <col min="4137" max="4138" width="8.86328125" style="382" customWidth="1"/>
    <col min="4139" max="4139" width="12.86328125" style="382" customWidth="1"/>
    <col min="4140" max="4143" width="8.86328125" style="382" customWidth="1"/>
    <col min="4144" max="4144" width="15.3984375" style="382" customWidth="1"/>
    <col min="4145" max="4145" width="14.265625" style="382" customWidth="1"/>
    <col min="4146" max="4358" width="9.1328125" style="382"/>
    <col min="4359" max="4359" width="8.265625" style="382" customWidth="1"/>
    <col min="4360" max="4360" width="42" style="382" customWidth="1"/>
    <col min="4361" max="4362" width="10" style="382" customWidth="1"/>
    <col min="4363" max="4363" width="10.3984375" style="382" customWidth="1"/>
    <col min="4364" max="4364" width="9.3984375" style="382" customWidth="1"/>
    <col min="4365" max="4365" width="16.265625" style="382" customWidth="1"/>
    <col min="4366" max="4367" width="14.73046875" style="382" customWidth="1"/>
    <col min="4368" max="4377" width="0" style="382" hidden="1" customWidth="1"/>
    <col min="4378" max="4378" width="15.3984375" style="382" customWidth="1"/>
    <col min="4379" max="4379" width="14.1328125" style="382" customWidth="1"/>
    <col min="4380" max="4381" width="14" style="382" customWidth="1"/>
    <col min="4382" max="4382" width="15.1328125" style="382" customWidth="1"/>
    <col min="4383" max="4385" width="12.3984375" style="382" customWidth="1"/>
    <col min="4386" max="4386" width="14" style="382" customWidth="1"/>
    <col min="4387" max="4389" width="11.86328125" style="382" customWidth="1"/>
    <col min="4390" max="4390" width="22.3984375" style="382" customWidth="1"/>
    <col min="4391" max="4391" width="15.265625" style="382" customWidth="1"/>
    <col min="4392" max="4392" width="13.1328125" style="382" customWidth="1"/>
    <col min="4393" max="4394" width="8.86328125" style="382" customWidth="1"/>
    <col min="4395" max="4395" width="12.86328125" style="382" customWidth="1"/>
    <col min="4396" max="4399" width="8.86328125" style="382" customWidth="1"/>
    <col min="4400" max="4400" width="15.3984375" style="382" customWidth="1"/>
    <col min="4401" max="4401" width="14.265625" style="382" customWidth="1"/>
    <col min="4402" max="4614" width="9.1328125" style="382"/>
    <col min="4615" max="4615" width="8.265625" style="382" customWidth="1"/>
    <col min="4616" max="4616" width="42" style="382" customWidth="1"/>
    <col min="4617" max="4618" width="10" style="382" customWidth="1"/>
    <col min="4619" max="4619" width="10.3984375" style="382" customWidth="1"/>
    <col min="4620" max="4620" width="9.3984375" style="382" customWidth="1"/>
    <col min="4621" max="4621" width="16.265625" style="382" customWidth="1"/>
    <col min="4622" max="4623" width="14.73046875" style="382" customWidth="1"/>
    <col min="4624" max="4633" width="0" style="382" hidden="1" customWidth="1"/>
    <col min="4634" max="4634" width="15.3984375" style="382" customWidth="1"/>
    <col min="4635" max="4635" width="14.1328125" style="382" customWidth="1"/>
    <col min="4636" max="4637" width="14" style="382" customWidth="1"/>
    <col min="4638" max="4638" width="15.1328125" style="382" customWidth="1"/>
    <col min="4639" max="4641" width="12.3984375" style="382" customWidth="1"/>
    <col min="4642" max="4642" width="14" style="382" customWidth="1"/>
    <col min="4643" max="4645" width="11.86328125" style="382" customWidth="1"/>
    <col min="4646" max="4646" width="22.3984375" style="382" customWidth="1"/>
    <col min="4647" max="4647" width="15.265625" style="382" customWidth="1"/>
    <col min="4648" max="4648" width="13.1328125" style="382" customWidth="1"/>
    <col min="4649" max="4650" width="8.86328125" style="382" customWidth="1"/>
    <col min="4651" max="4651" width="12.86328125" style="382" customWidth="1"/>
    <col min="4652" max="4655" width="8.86328125" style="382" customWidth="1"/>
    <col min="4656" max="4656" width="15.3984375" style="382" customWidth="1"/>
    <col min="4657" max="4657" width="14.265625" style="382" customWidth="1"/>
    <col min="4658" max="4870" width="9.1328125" style="382"/>
    <col min="4871" max="4871" width="8.265625" style="382" customWidth="1"/>
    <col min="4872" max="4872" width="42" style="382" customWidth="1"/>
    <col min="4873" max="4874" width="10" style="382" customWidth="1"/>
    <col min="4875" max="4875" width="10.3984375" style="382" customWidth="1"/>
    <col min="4876" max="4876" width="9.3984375" style="382" customWidth="1"/>
    <col min="4877" max="4877" width="16.265625" style="382" customWidth="1"/>
    <col min="4878" max="4879" width="14.73046875" style="382" customWidth="1"/>
    <col min="4880" max="4889" width="0" style="382" hidden="1" customWidth="1"/>
    <col min="4890" max="4890" width="15.3984375" style="382" customWidth="1"/>
    <col min="4891" max="4891" width="14.1328125" style="382" customWidth="1"/>
    <col min="4892" max="4893" width="14" style="382" customWidth="1"/>
    <col min="4894" max="4894" width="15.1328125" style="382" customWidth="1"/>
    <col min="4895" max="4897" width="12.3984375" style="382" customWidth="1"/>
    <col min="4898" max="4898" width="14" style="382" customWidth="1"/>
    <col min="4899" max="4901" width="11.86328125" style="382" customWidth="1"/>
    <col min="4902" max="4902" width="22.3984375" style="382" customWidth="1"/>
    <col min="4903" max="4903" width="15.265625" style="382" customWidth="1"/>
    <col min="4904" max="4904" width="13.1328125" style="382" customWidth="1"/>
    <col min="4905" max="4906" width="8.86328125" style="382" customWidth="1"/>
    <col min="4907" max="4907" width="12.86328125" style="382" customWidth="1"/>
    <col min="4908" max="4911" width="8.86328125" style="382" customWidth="1"/>
    <col min="4912" max="4912" width="15.3984375" style="382" customWidth="1"/>
    <col min="4913" max="4913" width="14.265625" style="382" customWidth="1"/>
    <col min="4914" max="5126" width="9.1328125" style="382"/>
    <col min="5127" max="5127" width="8.265625" style="382" customWidth="1"/>
    <col min="5128" max="5128" width="42" style="382" customWidth="1"/>
    <col min="5129" max="5130" width="10" style="382" customWidth="1"/>
    <col min="5131" max="5131" width="10.3984375" style="382" customWidth="1"/>
    <col min="5132" max="5132" width="9.3984375" style="382" customWidth="1"/>
    <col min="5133" max="5133" width="16.265625" style="382" customWidth="1"/>
    <col min="5134" max="5135" width="14.73046875" style="382" customWidth="1"/>
    <col min="5136" max="5145" width="0" style="382" hidden="1" customWidth="1"/>
    <col min="5146" max="5146" width="15.3984375" style="382" customWidth="1"/>
    <col min="5147" max="5147" width="14.1328125" style="382" customWidth="1"/>
    <col min="5148" max="5149" width="14" style="382" customWidth="1"/>
    <col min="5150" max="5150" width="15.1328125" style="382" customWidth="1"/>
    <col min="5151" max="5153" width="12.3984375" style="382" customWidth="1"/>
    <col min="5154" max="5154" width="14" style="382" customWidth="1"/>
    <col min="5155" max="5157" width="11.86328125" style="382" customWidth="1"/>
    <col min="5158" max="5158" width="22.3984375" style="382" customWidth="1"/>
    <col min="5159" max="5159" width="15.265625" style="382" customWidth="1"/>
    <col min="5160" max="5160" width="13.1328125" style="382" customWidth="1"/>
    <col min="5161" max="5162" width="8.86328125" style="382" customWidth="1"/>
    <col min="5163" max="5163" width="12.86328125" style="382" customWidth="1"/>
    <col min="5164" max="5167" width="8.86328125" style="382" customWidth="1"/>
    <col min="5168" max="5168" width="15.3984375" style="382" customWidth="1"/>
    <col min="5169" max="5169" width="14.265625" style="382" customWidth="1"/>
    <col min="5170" max="5382" width="9.1328125" style="382"/>
    <col min="5383" max="5383" width="8.265625" style="382" customWidth="1"/>
    <col min="5384" max="5384" width="42" style="382" customWidth="1"/>
    <col min="5385" max="5386" width="10" style="382" customWidth="1"/>
    <col min="5387" max="5387" width="10.3984375" style="382" customWidth="1"/>
    <col min="5388" max="5388" width="9.3984375" style="382" customWidth="1"/>
    <col min="5389" max="5389" width="16.265625" style="382" customWidth="1"/>
    <col min="5390" max="5391" width="14.73046875" style="382" customWidth="1"/>
    <col min="5392" max="5401" width="0" style="382" hidden="1" customWidth="1"/>
    <col min="5402" max="5402" width="15.3984375" style="382" customWidth="1"/>
    <col min="5403" max="5403" width="14.1328125" style="382" customWidth="1"/>
    <col min="5404" max="5405" width="14" style="382" customWidth="1"/>
    <col min="5406" max="5406" width="15.1328125" style="382" customWidth="1"/>
    <col min="5407" max="5409" width="12.3984375" style="382" customWidth="1"/>
    <col min="5410" max="5410" width="14" style="382" customWidth="1"/>
    <col min="5411" max="5413" width="11.86328125" style="382" customWidth="1"/>
    <col min="5414" max="5414" width="22.3984375" style="382" customWidth="1"/>
    <col min="5415" max="5415" width="15.265625" style="382" customWidth="1"/>
    <col min="5416" max="5416" width="13.1328125" style="382" customWidth="1"/>
    <col min="5417" max="5418" width="8.86328125" style="382" customWidth="1"/>
    <col min="5419" max="5419" width="12.86328125" style="382" customWidth="1"/>
    <col min="5420" max="5423" width="8.86328125" style="382" customWidth="1"/>
    <col min="5424" max="5424" width="15.3984375" style="382" customWidth="1"/>
    <col min="5425" max="5425" width="14.265625" style="382" customWidth="1"/>
    <col min="5426" max="5638" width="9.1328125" style="382"/>
    <col min="5639" max="5639" width="8.265625" style="382" customWidth="1"/>
    <col min="5640" max="5640" width="42" style="382" customWidth="1"/>
    <col min="5641" max="5642" width="10" style="382" customWidth="1"/>
    <col min="5643" max="5643" width="10.3984375" style="382" customWidth="1"/>
    <col min="5644" max="5644" width="9.3984375" style="382" customWidth="1"/>
    <col min="5645" max="5645" width="16.265625" style="382" customWidth="1"/>
    <col min="5646" max="5647" width="14.73046875" style="382" customWidth="1"/>
    <col min="5648" max="5657" width="0" style="382" hidden="1" customWidth="1"/>
    <col min="5658" max="5658" width="15.3984375" style="382" customWidth="1"/>
    <col min="5659" max="5659" width="14.1328125" style="382" customWidth="1"/>
    <col min="5660" max="5661" width="14" style="382" customWidth="1"/>
    <col min="5662" max="5662" width="15.1328125" style="382" customWidth="1"/>
    <col min="5663" max="5665" width="12.3984375" style="382" customWidth="1"/>
    <col min="5666" max="5666" width="14" style="382" customWidth="1"/>
    <col min="5667" max="5669" width="11.86328125" style="382" customWidth="1"/>
    <col min="5670" max="5670" width="22.3984375" style="382" customWidth="1"/>
    <col min="5671" max="5671" width="15.265625" style="382" customWidth="1"/>
    <col min="5672" max="5672" width="13.1328125" style="382" customWidth="1"/>
    <col min="5673" max="5674" width="8.86328125" style="382" customWidth="1"/>
    <col min="5675" max="5675" width="12.86328125" style="382" customWidth="1"/>
    <col min="5676" max="5679" width="8.86328125" style="382" customWidth="1"/>
    <col min="5680" max="5680" width="15.3984375" style="382" customWidth="1"/>
    <col min="5681" max="5681" width="14.265625" style="382" customWidth="1"/>
    <col min="5682" max="5894" width="9.1328125" style="382"/>
    <col min="5895" max="5895" width="8.265625" style="382" customWidth="1"/>
    <col min="5896" max="5896" width="42" style="382" customWidth="1"/>
    <col min="5897" max="5898" width="10" style="382" customWidth="1"/>
    <col min="5899" max="5899" width="10.3984375" style="382" customWidth="1"/>
    <col min="5900" max="5900" width="9.3984375" style="382" customWidth="1"/>
    <col min="5901" max="5901" width="16.265625" style="382" customWidth="1"/>
    <col min="5902" max="5903" width="14.73046875" style="382" customWidth="1"/>
    <col min="5904" max="5913" width="0" style="382" hidden="1" customWidth="1"/>
    <col min="5914" max="5914" width="15.3984375" style="382" customWidth="1"/>
    <col min="5915" max="5915" width="14.1328125" style="382" customWidth="1"/>
    <col min="5916" max="5917" width="14" style="382" customWidth="1"/>
    <col min="5918" max="5918" width="15.1328125" style="382" customWidth="1"/>
    <col min="5919" max="5921" width="12.3984375" style="382" customWidth="1"/>
    <col min="5922" max="5922" width="14" style="382" customWidth="1"/>
    <col min="5923" max="5925" width="11.86328125" style="382" customWidth="1"/>
    <col min="5926" max="5926" width="22.3984375" style="382" customWidth="1"/>
    <col min="5927" max="5927" width="15.265625" style="382" customWidth="1"/>
    <col min="5928" max="5928" width="13.1328125" style="382" customWidth="1"/>
    <col min="5929" max="5930" width="8.86328125" style="382" customWidth="1"/>
    <col min="5931" max="5931" width="12.86328125" style="382" customWidth="1"/>
    <col min="5932" max="5935" width="8.86328125" style="382" customWidth="1"/>
    <col min="5936" max="5936" width="15.3984375" style="382" customWidth="1"/>
    <col min="5937" max="5937" width="14.265625" style="382" customWidth="1"/>
    <col min="5938" max="6150" width="9.1328125" style="382"/>
    <col min="6151" max="6151" width="8.265625" style="382" customWidth="1"/>
    <col min="6152" max="6152" width="42" style="382" customWidth="1"/>
    <col min="6153" max="6154" width="10" style="382" customWidth="1"/>
    <col min="6155" max="6155" width="10.3984375" style="382" customWidth="1"/>
    <col min="6156" max="6156" width="9.3984375" style="382" customWidth="1"/>
    <col min="6157" max="6157" width="16.265625" style="382" customWidth="1"/>
    <col min="6158" max="6159" width="14.73046875" style="382" customWidth="1"/>
    <col min="6160" max="6169" width="0" style="382" hidden="1" customWidth="1"/>
    <col min="6170" max="6170" width="15.3984375" style="382" customWidth="1"/>
    <col min="6171" max="6171" width="14.1328125" style="382" customWidth="1"/>
    <col min="6172" max="6173" width="14" style="382" customWidth="1"/>
    <col min="6174" max="6174" width="15.1328125" style="382" customWidth="1"/>
    <col min="6175" max="6177" width="12.3984375" style="382" customWidth="1"/>
    <col min="6178" max="6178" width="14" style="382" customWidth="1"/>
    <col min="6179" max="6181" width="11.86328125" style="382" customWidth="1"/>
    <col min="6182" max="6182" width="22.3984375" style="382" customWidth="1"/>
    <col min="6183" max="6183" width="15.265625" style="382" customWidth="1"/>
    <col min="6184" max="6184" width="13.1328125" style="382" customWidth="1"/>
    <col min="6185" max="6186" width="8.86328125" style="382" customWidth="1"/>
    <col min="6187" max="6187" width="12.86328125" style="382" customWidth="1"/>
    <col min="6188" max="6191" width="8.86328125" style="382" customWidth="1"/>
    <col min="6192" max="6192" width="15.3984375" style="382" customWidth="1"/>
    <col min="6193" max="6193" width="14.265625" style="382" customWidth="1"/>
    <col min="6194" max="6406" width="9.1328125" style="382"/>
    <col min="6407" max="6407" width="8.265625" style="382" customWidth="1"/>
    <col min="6408" max="6408" width="42" style="382" customWidth="1"/>
    <col min="6409" max="6410" width="10" style="382" customWidth="1"/>
    <col min="6411" max="6411" width="10.3984375" style="382" customWidth="1"/>
    <col min="6412" max="6412" width="9.3984375" style="382" customWidth="1"/>
    <col min="6413" max="6413" width="16.265625" style="382" customWidth="1"/>
    <col min="6414" max="6415" width="14.73046875" style="382" customWidth="1"/>
    <col min="6416" max="6425" width="0" style="382" hidden="1" customWidth="1"/>
    <col min="6426" max="6426" width="15.3984375" style="382" customWidth="1"/>
    <col min="6427" max="6427" width="14.1328125" style="382" customWidth="1"/>
    <col min="6428" max="6429" width="14" style="382" customWidth="1"/>
    <col min="6430" max="6430" width="15.1328125" style="382" customWidth="1"/>
    <col min="6431" max="6433" width="12.3984375" style="382" customWidth="1"/>
    <col min="6434" max="6434" width="14" style="382" customWidth="1"/>
    <col min="6435" max="6437" width="11.86328125" style="382" customWidth="1"/>
    <col min="6438" max="6438" width="22.3984375" style="382" customWidth="1"/>
    <col min="6439" max="6439" width="15.265625" style="382" customWidth="1"/>
    <col min="6440" max="6440" width="13.1328125" style="382" customWidth="1"/>
    <col min="6441" max="6442" width="8.86328125" style="382" customWidth="1"/>
    <col min="6443" max="6443" width="12.86328125" style="382" customWidth="1"/>
    <col min="6444" max="6447" width="8.86328125" style="382" customWidth="1"/>
    <col min="6448" max="6448" width="15.3984375" style="382" customWidth="1"/>
    <col min="6449" max="6449" width="14.265625" style="382" customWidth="1"/>
    <col min="6450" max="6662" width="9.1328125" style="382"/>
    <col min="6663" max="6663" width="8.265625" style="382" customWidth="1"/>
    <col min="6664" max="6664" width="42" style="382" customWidth="1"/>
    <col min="6665" max="6666" width="10" style="382" customWidth="1"/>
    <col min="6667" max="6667" width="10.3984375" style="382" customWidth="1"/>
    <col min="6668" max="6668" width="9.3984375" style="382" customWidth="1"/>
    <col min="6669" max="6669" width="16.265625" style="382" customWidth="1"/>
    <col min="6670" max="6671" width="14.73046875" style="382" customWidth="1"/>
    <col min="6672" max="6681" width="0" style="382" hidden="1" customWidth="1"/>
    <col min="6682" max="6682" width="15.3984375" style="382" customWidth="1"/>
    <col min="6683" max="6683" width="14.1328125" style="382" customWidth="1"/>
    <col min="6684" max="6685" width="14" style="382" customWidth="1"/>
    <col min="6686" max="6686" width="15.1328125" style="382" customWidth="1"/>
    <col min="6687" max="6689" width="12.3984375" style="382" customWidth="1"/>
    <col min="6690" max="6690" width="14" style="382" customWidth="1"/>
    <col min="6691" max="6693" width="11.86328125" style="382" customWidth="1"/>
    <col min="6694" max="6694" width="22.3984375" style="382" customWidth="1"/>
    <col min="6695" max="6695" width="15.265625" style="382" customWidth="1"/>
    <col min="6696" max="6696" width="13.1328125" style="382" customWidth="1"/>
    <col min="6697" max="6698" width="8.86328125" style="382" customWidth="1"/>
    <col min="6699" max="6699" width="12.86328125" style="382" customWidth="1"/>
    <col min="6700" max="6703" width="8.86328125" style="382" customWidth="1"/>
    <col min="6704" max="6704" width="15.3984375" style="382" customWidth="1"/>
    <col min="6705" max="6705" width="14.265625" style="382" customWidth="1"/>
    <col min="6706" max="6918" width="9.1328125" style="382"/>
    <col min="6919" max="6919" width="8.265625" style="382" customWidth="1"/>
    <col min="6920" max="6920" width="42" style="382" customWidth="1"/>
    <col min="6921" max="6922" width="10" style="382" customWidth="1"/>
    <col min="6923" max="6923" width="10.3984375" style="382" customWidth="1"/>
    <col min="6924" max="6924" width="9.3984375" style="382" customWidth="1"/>
    <col min="6925" max="6925" width="16.265625" style="382" customWidth="1"/>
    <col min="6926" max="6927" width="14.73046875" style="382" customWidth="1"/>
    <col min="6928" max="6937" width="0" style="382" hidden="1" customWidth="1"/>
    <col min="6938" max="6938" width="15.3984375" style="382" customWidth="1"/>
    <col min="6939" max="6939" width="14.1328125" style="382" customWidth="1"/>
    <col min="6940" max="6941" width="14" style="382" customWidth="1"/>
    <col min="6942" max="6942" width="15.1328125" style="382" customWidth="1"/>
    <col min="6943" max="6945" width="12.3984375" style="382" customWidth="1"/>
    <col min="6946" max="6946" width="14" style="382" customWidth="1"/>
    <col min="6947" max="6949" width="11.86328125" style="382" customWidth="1"/>
    <col min="6950" max="6950" width="22.3984375" style="382" customWidth="1"/>
    <col min="6951" max="6951" width="15.265625" style="382" customWidth="1"/>
    <col min="6952" max="6952" width="13.1328125" style="382" customWidth="1"/>
    <col min="6953" max="6954" width="8.86328125" style="382" customWidth="1"/>
    <col min="6955" max="6955" width="12.86328125" style="382" customWidth="1"/>
    <col min="6956" max="6959" width="8.86328125" style="382" customWidth="1"/>
    <col min="6960" max="6960" width="15.3984375" style="382" customWidth="1"/>
    <col min="6961" max="6961" width="14.265625" style="382" customWidth="1"/>
    <col min="6962" max="7174" width="9.1328125" style="382"/>
    <col min="7175" max="7175" width="8.265625" style="382" customWidth="1"/>
    <col min="7176" max="7176" width="42" style="382" customWidth="1"/>
    <col min="7177" max="7178" width="10" style="382" customWidth="1"/>
    <col min="7179" max="7179" width="10.3984375" style="382" customWidth="1"/>
    <col min="7180" max="7180" width="9.3984375" style="382" customWidth="1"/>
    <col min="7181" max="7181" width="16.265625" style="382" customWidth="1"/>
    <col min="7182" max="7183" width="14.73046875" style="382" customWidth="1"/>
    <col min="7184" max="7193" width="0" style="382" hidden="1" customWidth="1"/>
    <col min="7194" max="7194" width="15.3984375" style="382" customWidth="1"/>
    <col min="7195" max="7195" width="14.1328125" style="382" customWidth="1"/>
    <col min="7196" max="7197" width="14" style="382" customWidth="1"/>
    <col min="7198" max="7198" width="15.1328125" style="382" customWidth="1"/>
    <col min="7199" max="7201" width="12.3984375" style="382" customWidth="1"/>
    <col min="7202" max="7202" width="14" style="382" customWidth="1"/>
    <col min="7203" max="7205" width="11.86328125" style="382" customWidth="1"/>
    <col min="7206" max="7206" width="22.3984375" style="382" customWidth="1"/>
    <col min="7207" max="7207" width="15.265625" style="382" customWidth="1"/>
    <col min="7208" max="7208" width="13.1328125" style="382" customWidth="1"/>
    <col min="7209" max="7210" width="8.86328125" style="382" customWidth="1"/>
    <col min="7211" max="7211" width="12.86328125" style="382" customWidth="1"/>
    <col min="7212" max="7215" width="8.86328125" style="382" customWidth="1"/>
    <col min="7216" max="7216" width="15.3984375" style="382" customWidth="1"/>
    <col min="7217" max="7217" width="14.265625" style="382" customWidth="1"/>
    <col min="7218" max="7430" width="9.1328125" style="382"/>
    <col min="7431" max="7431" width="8.265625" style="382" customWidth="1"/>
    <col min="7432" max="7432" width="42" style="382" customWidth="1"/>
    <col min="7433" max="7434" width="10" style="382" customWidth="1"/>
    <col min="7435" max="7435" width="10.3984375" style="382" customWidth="1"/>
    <col min="7436" max="7436" width="9.3984375" style="382" customWidth="1"/>
    <col min="7437" max="7437" width="16.265625" style="382" customWidth="1"/>
    <col min="7438" max="7439" width="14.73046875" style="382" customWidth="1"/>
    <col min="7440" max="7449" width="0" style="382" hidden="1" customWidth="1"/>
    <col min="7450" max="7450" width="15.3984375" style="382" customWidth="1"/>
    <col min="7451" max="7451" width="14.1328125" style="382" customWidth="1"/>
    <col min="7452" max="7453" width="14" style="382" customWidth="1"/>
    <col min="7454" max="7454" width="15.1328125" style="382" customWidth="1"/>
    <col min="7455" max="7457" width="12.3984375" style="382" customWidth="1"/>
    <col min="7458" max="7458" width="14" style="382" customWidth="1"/>
    <col min="7459" max="7461" width="11.86328125" style="382" customWidth="1"/>
    <col min="7462" max="7462" width="22.3984375" style="382" customWidth="1"/>
    <col min="7463" max="7463" width="15.265625" style="382" customWidth="1"/>
    <col min="7464" max="7464" width="13.1328125" style="382" customWidth="1"/>
    <col min="7465" max="7466" width="8.86328125" style="382" customWidth="1"/>
    <col min="7467" max="7467" width="12.86328125" style="382" customWidth="1"/>
    <col min="7468" max="7471" width="8.86328125" style="382" customWidth="1"/>
    <col min="7472" max="7472" width="15.3984375" style="382" customWidth="1"/>
    <col min="7473" max="7473" width="14.265625" style="382" customWidth="1"/>
    <col min="7474" max="7686" width="9.1328125" style="382"/>
    <col min="7687" max="7687" width="8.265625" style="382" customWidth="1"/>
    <col min="7688" max="7688" width="42" style="382" customWidth="1"/>
    <col min="7689" max="7690" width="10" style="382" customWidth="1"/>
    <col min="7691" max="7691" width="10.3984375" style="382" customWidth="1"/>
    <col min="7692" max="7692" width="9.3984375" style="382" customWidth="1"/>
    <col min="7693" max="7693" width="16.265625" style="382" customWidth="1"/>
    <col min="7694" max="7695" width="14.73046875" style="382" customWidth="1"/>
    <col min="7696" max="7705" width="0" style="382" hidden="1" customWidth="1"/>
    <col min="7706" max="7706" width="15.3984375" style="382" customWidth="1"/>
    <col min="7707" max="7707" width="14.1328125" style="382" customWidth="1"/>
    <col min="7708" max="7709" width="14" style="382" customWidth="1"/>
    <col min="7710" max="7710" width="15.1328125" style="382" customWidth="1"/>
    <col min="7711" max="7713" width="12.3984375" style="382" customWidth="1"/>
    <col min="7714" max="7714" width="14" style="382" customWidth="1"/>
    <col min="7715" max="7717" width="11.86328125" style="382" customWidth="1"/>
    <col min="7718" max="7718" width="22.3984375" style="382" customWidth="1"/>
    <col min="7719" max="7719" width="15.265625" style="382" customWidth="1"/>
    <col min="7720" max="7720" width="13.1328125" style="382" customWidth="1"/>
    <col min="7721" max="7722" width="8.86328125" style="382" customWidth="1"/>
    <col min="7723" max="7723" width="12.86328125" style="382" customWidth="1"/>
    <col min="7724" max="7727" width="8.86328125" style="382" customWidth="1"/>
    <col min="7728" max="7728" width="15.3984375" style="382" customWidth="1"/>
    <col min="7729" max="7729" width="14.265625" style="382" customWidth="1"/>
    <col min="7730" max="7942" width="9.1328125" style="382"/>
    <col min="7943" max="7943" width="8.265625" style="382" customWidth="1"/>
    <col min="7944" max="7944" width="42" style="382" customWidth="1"/>
    <col min="7945" max="7946" width="10" style="382" customWidth="1"/>
    <col min="7947" max="7947" width="10.3984375" style="382" customWidth="1"/>
    <col min="7948" max="7948" width="9.3984375" style="382" customWidth="1"/>
    <col min="7949" max="7949" width="16.265625" style="382" customWidth="1"/>
    <col min="7950" max="7951" width="14.73046875" style="382" customWidth="1"/>
    <col min="7952" max="7961" width="0" style="382" hidden="1" customWidth="1"/>
    <col min="7962" max="7962" width="15.3984375" style="382" customWidth="1"/>
    <col min="7963" max="7963" width="14.1328125" style="382" customWidth="1"/>
    <col min="7964" max="7965" width="14" style="382" customWidth="1"/>
    <col min="7966" max="7966" width="15.1328125" style="382" customWidth="1"/>
    <col min="7967" max="7969" width="12.3984375" style="382" customWidth="1"/>
    <col min="7970" max="7970" width="14" style="382" customWidth="1"/>
    <col min="7971" max="7973" width="11.86328125" style="382" customWidth="1"/>
    <col min="7974" max="7974" width="22.3984375" style="382" customWidth="1"/>
    <col min="7975" max="7975" width="15.265625" style="382" customWidth="1"/>
    <col min="7976" max="7976" width="13.1328125" style="382" customWidth="1"/>
    <col min="7977" max="7978" width="8.86328125" style="382" customWidth="1"/>
    <col min="7979" max="7979" width="12.86328125" style="382" customWidth="1"/>
    <col min="7980" max="7983" width="8.86328125" style="382" customWidth="1"/>
    <col min="7984" max="7984" width="15.3984375" style="382" customWidth="1"/>
    <col min="7985" max="7985" width="14.265625" style="382" customWidth="1"/>
    <col min="7986" max="8198" width="9.1328125" style="382"/>
    <col min="8199" max="8199" width="8.265625" style="382" customWidth="1"/>
    <col min="8200" max="8200" width="42" style="382" customWidth="1"/>
    <col min="8201" max="8202" width="10" style="382" customWidth="1"/>
    <col min="8203" max="8203" width="10.3984375" style="382" customWidth="1"/>
    <col min="8204" max="8204" width="9.3984375" style="382" customWidth="1"/>
    <col min="8205" max="8205" width="16.265625" style="382" customWidth="1"/>
    <col min="8206" max="8207" width="14.73046875" style="382" customWidth="1"/>
    <col min="8208" max="8217" width="0" style="382" hidden="1" customWidth="1"/>
    <col min="8218" max="8218" width="15.3984375" style="382" customWidth="1"/>
    <col min="8219" max="8219" width="14.1328125" style="382" customWidth="1"/>
    <col min="8220" max="8221" width="14" style="382" customWidth="1"/>
    <col min="8222" max="8222" width="15.1328125" style="382" customWidth="1"/>
    <col min="8223" max="8225" width="12.3984375" style="382" customWidth="1"/>
    <col min="8226" max="8226" width="14" style="382" customWidth="1"/>
    <col min="8227" max="8229" width="11.86328125" style="382" customWidth="1"/>
    <col min="8230" max="8230" width="22.3984375" style="382" customWidth="1"/>
    <col min="8231" max="8231" width="15.265625" style="382" customWidth="1"/>
    <col min="8232" max="8232" width="13.1328125" style="382" customWidth="1"/>
    <col min="8233" max="8234" width="8.86328125" style="382" customWidth="1"/>
    <col min="8235" max="8235" width="12.86328125" style="382" customWidth="1"/>
    <col min="8236" max="8239" width="8.86328125" style="382" customWidth="1"/>
    <col min="8240" max="8240" width="15.3984375" style="382" customWidth="1"/>
    <col min="8241" max="8241" width="14.265625" style="382" customWidth="1"/>
    <col min="8242" max="8454" width="9.1328125" style="382"/>
    <col min="8455" max="8455" width="8.265625" style="382" customWidth="1"/>
    <col min="8456" max="8456" width="42" style="382" customWidth="1"/>
    <col min="8457" max="8458" width="10" style="382" customWidth="1"/>
    <col min="8459" max="8459" width="10.3984375" style="382" customWidth="1"/>
    <col min="8460" max="8460" width="9.3984375" style="382" customWidth="1"/>
    <col min="8461" max="8461" width="16.265625" style="382" customWidth="1"/>
    <col min="8462" max="8463" width="14.73046875" style="382" customWidth="1"/>
    <col min="8464" max="8473" width="0" style="382" hidden="1" customWidth="1"/>
    <col min="8474" max="8474" width="15.3984375" style="382" customWidth="1"/>
    <col min="8475" max="8475" width="14.1328125" style="382" customWidth="1"/>
    <col min="8476" max="8477" width="14" style="382" customWidth="1"/>
    <col min="8478" max="8478" width="15.1328125" style="382" customWidth="1"/>
    <col min="8479" max="8481" width="12.3984375" style="382" customWidth="1"/>
    <col min="8482" max="8482" width="14" style="382" customWidth="1"/>
    <col min="8483" max="8485" width="11.86328125" style="382" customWidth="1"/>
    <col min="8486" max="8486" width="22.3984375" style="382" customWidth="1"/>
    <col min="8487" max="8487" width="15.265625" style="382" customWidth="1"/>
    <col min="8488" max="8488" width="13.1328125" style="382" customWidth="1"/>
    <col min="8489" max="8490" width="8.86328125" style="382" customWidth="1"/>
    <col min="8491" max="8491" width="12.86328125" style="382" customWidth="1"/>
    <col min="8492" max="8495" width="8.86328125" style="382" customWidth="1"/>
    <col min="8496" max="8496" width="15.3984375" style="382" customWidth="1"/>
    <col min="8497" max="8497" width="14.265625" style="382" customWidth="1"/>
    <col min="8498" max="8710" width="9.1328125" style="382"/>
    <col min="8711" max="8711" width="8.265625" style="382" customWidth="1"/>
    <col min="8712" max="8712" width="42" style="382" customWidth="1"/>
    <col min="8713" max="8714" width="10" style="382" customWidth="1"/>
    <col min="8715" max="8715" width="10.3984375" style="382" customWidth="1"/>
    <col min="8716" max="8716" width="9.3984375" style="382" customWidth="1"/>
    <col min="8717" max="8717" width="16.265625" style="382" customWidth="1"/>
    <col min="8718" max="8719" width="14.73046875" style="382" customWidth="1"/>
    <col min="8720" max="8729" width="0" style="382" hidden="1" customWidth="1"/>
    <col min="8730" max="8730" width="15.3984375" style="382" customWidth="1"/>
    <col min="8731" max="8731" width="14.1328125" style="382" customWidth="1"/>
    <col min="8732" max="8733" width="14" style="382" customWidth="1"/>
    <col min="8734" max="8734" width="15.1328125" style="382" customWidth="1"/>
    <col min="8735" max="8737" width="12.3984375" style="382" customWidth="1"/>
    <col min="8738" max="8738" width="14" style="382" customWidth="1"/>
    <col min="8739" max="8741" width="11.86328125" style="382" customWidth="1"/>
    <col min="8742" max="8742" width="22.3984375" style="382" customWidth="1"/>
    <col min="8743" max="8743" width="15.265625" style="382" customWidth="1"/>
    <col min="8744" max="8744" width="13.1328125" style="382" customWidth="1"/>
    <col min="8745" max="8746" width="8.86328125" style="382" customWidth="1"/>
    <col min="8747" max="8747" width="12.86328125" style="382" customWidth="1"/>
    <col min="8748" max="8751" width="8.86328125" style="382" customWidth="1"/>
    <col min="8752" max="8752" width="15.3984375" style="382" customWidth="1"/>
    <col min="8753" max="8753" width="14.265625" style="382" customWidth="1"/>
    <col min="8754" max="8966" width="9.1328125" style="382"/>
    <col min="8967" max="8967" width="8.265625" style="382" customWidth="1"/>
    <col min="8968" max="8968" width="42" style="382" customWidth="1"/>
    <col min="8969" max="8970" width="10" style="382" customWidth="1"/>
    <col min="8971" max="8971" width="10.3984375" style="382" customWidth="1"/>
    <col min="8972" max="8972" width="9.3984375" style="382" customWidth="1"/>
    <col min="8973" max="8973" width="16.265625" style="382" customWidth="1"/>
    <col min="8974" max="8975" width="14.73046875" style="382" customWidth="1"/>
    <col min="8976" max="8985" width="0" style="382" hidden="1" customWidth="1"/>
    <col min="8986" max="8986" width="15.3984375" style="382" customWidth="1"/>
    <col min="8987" max="8987" width="14.1328125" style="382" customWidth="1"/>
    <col min="8988" max="8989" width="14" style="382" customWidth="1"/>
    <col min="8990" max="8990" width="15.1328125" style="382" customWidth="1"/>
    <col min="8991" max="8993" width="12.3984375" style="382" customWidth="1"/>
    <col min="8994" max="8994" width="14" style="382" customWidth="1"/>
    <col min="8995" max="8997" width="11.86328125" style="382" customWidth="1"/>
    <col min="8998" max="8998" width="22.3984375" style="382" customWidth="1"/>
    <col min="8999" max="8999" width="15.265625" style="382" customWidth="1"/>
    <col min="9000" max="9000" width="13.1328125" style="382" customWidth="1"/>
    <col min="9001" max="9002" width="8.86328125" style="382" customWidth="1"/>
    <col min="9003" max="9003" width="12.86328125" style="382" customWidth="1"/>
    <col min="9004" max="9007" width="8.86328125" style="382" customWidth="1"/>
    <col min="9008" max="9008" width="15.3984375" style="382" customWidth="1"/>
    <col min="9009" max="9009" width="14.265625" style="382" customWidth="1"/>
    <col min="9010" max="9222" width="9.1328125" style="382"/>
    <col min="9223" max="9223" width="8.265625" style="382" customWidth="1"/>
    <col min="9224" max="9224" width="42" style="382" customWidth="1"/>
    <col min="9225" max="9226" width="10" style="382" customWidth="1"/>
    <col min="9227" max="9227" width="10.3984375" style="382" customWidth="1"/>
    <col min="9228" max="9228" width="9.3984375" style="382" customWidth="1"/>
    <col min="9229" max="9229" width="16.265625" style="382" customWidth="1"/>
    <col min="9230" max="9231" width="14.73046875" style="382" customWidth="1"/>
    <col min="9232" max="9241" width="0" style="382" hidden="1" customWidth="1"/>
    <col min="9242" max="9242" width="15.3984375" style="382" customWidth="1"/>
    <col min="9243" max="9243" width="14.1328125" style="382" customWidth="1"/>
    <col min="9244" max="9245" width="14" style="382" customWidth="1"/>
    <col min="9246" max="9246" width="15.1328125" style="382" customWidth="1"/>
    <col min="9247" max="9249" width="12.3984375" style="382" customWidth="1"/>
    <col min="9250" max="9250" width="14" style="382" customWidth="1"/>
    <col min="9251" max="9253" width="11.86328125" style="382" customWidth="1"/>
    <col min="9254" max="9254" width="22.3984375" style="382" customWidth="1"/>
    <col min="9255" max="9255" width="15.265625" style="382" customWidth="1"/>
    <col min="9256" max="9256" width="13.1328125" style="382" customWidth="1"/>
    <col min="9257" max="9258" width="8.86328125" style="382" customWidth="1"/>
    <col min="9259" max="9259" width="12.86328125" style="382" customWidth="1"/>
    <col min="9260" max="9263" width="8.86328125" style="382" customWidth="1"/>
    <col min="9264" max="9264" width="15.3984375" style="382" customWidth="1"/>
    <col min="9265" max="9265" width="14.265625" style="382" customWidth="1"/>
    <col min="9266" max="9478" width="9.1328125" style="382"/>
    <col min="9479" max="9479" width="8.265625" style="382" customWidth="1"/>
    <col min="9480" max="9480" width="42" style="382" customWidth="1"/>
    <col min="9481" max="9482" width="10" style="382" customWidth="1"/>
    <col min="9483" max="9483" width="10.3984375" style="382" customWidth="1"/>
    <col min="9484" max="9484" width="9.3984375" style="382" customWidth="1"/>
    <col min="9485" max="9485" width="16.265625" style="382" customWidth="1"/>
    <col min="9486" max="9487" width="14.73046875" style="382" customWidth="1"/>
    <col min="9488" max="9497" width="0" style="382" hidden="1" customWidth="1"/>
    <col min="9498" max="9498" width="15.3984375" style="382" customWidth="1"/>
    <col min="9499" max="9499" width="14.1328125" style="382" customWidth="1"/>
    <col min="9500" max="9501" width="14" style="382" customWidth="1"/>
    <col min="9502" max="9502" width="15.1328125" style="382" customWidth="1"/>
    <col min="9503" max="9505" width="12.3984375" style="382" customWidth="1"/>
    <col min="9506" max="9506" width="14" style="382" customWidth="1"/>
    <col min="9507" max="9509" width="11.86328125" style="382" customWidth="1"/>
    <col min="9510" max="9510" width="22.3984375" style="382" customWidth="1"/>
    <col min="9511" max="9511" width="15.265625" style="382" customWidth="1"/>
    <col min="9512" max="9512" width="13.1328125" style="382" customWidth="1"/>
    <col min="9513" max="9514" width="8.86328125" style="382" customWidth="1"/>
    <col min="9515" max="9515" width="12.86328125" style="382" customWidth="1"/>
    <col min="9516" max="9519" width="8.86328125" style="382" customWidth="1"/>
    <col min="9520" max="9520" width="15.3984375" style="382" customWidth="1"/>
    <col min="9521" max="9521" width="14.265625" style="382" customWidth="1"/>
    <col min="9522" max="9734" width="9.1328125" style="382"/>
    <col min="9735" max="9735" width="8.265625" style="382" customWidth="1"/>
    <col min="9736" max="9736" width="42" style="382" customWidth="1"/>
    <col min="9737" max="9738" width="10" style="382" customWidth="1"/>
    <col min="9739" max="9739" width="10.3984375" style="382" customWidth="1"/>
    <col min="9740" max="9740" width="9.3984375" style="382" customWidth="1"/>
    <col min="9741" max="9741" width="16.265625" style="382" customWidth="1"/>
    <col min="9742" max="9743" width="14.73046875" style="382" customWidth="1"/>
    <col min="9744" max="9753" width="0" style="382" hidden="1" customWidth="1"/>
    <col min="9754" max="9754" width="15.3984375" style="382" customWidth="1"/>
    <col min="9755" max="9755" width="14.1328125" style="382" customWidth="1"/>
    <col min="9756" max="9757" width="14" style="382" customWidth="1"/>
    <col min="9758" max="9758" width="15.1328125" style="382" customWidth="1"/>
    <col min="9759" max="9761" width="12.3984375" style="382" customWidth="1"/>
    <col min="9762" max="9762" width="14" style="382" customWidth="1"/>
    <col min="9763" max="9765" width="11.86328125" style="382" customWidth="1"/>
    <col min="9766" max="9766" width="22.3984375" style="382" customWidth="1"/>
    <col min="9767" max="9767" width="15.265625" style="382" customWidth="1"/>
    <col min="9768" max="9768" width="13.1328125" style="382" customWidth="1"/>
    <col min="9769" max="9770" width="8.86328125" style="382" customWidth="1"/>
    <col min="9771" max="9771" width="12.86328125" style="382" customWidth="1"/>
    <col min="9772" max="9775" width="8.86328125" style="382" customWidth="1"/>
    <col min="9776" max="9776" width="15.3984375" style="382" customWidth="1"/>
    <col min="9777" max="9777" width="14.265625" style="382" customWidth="1"/>
    <col min="9778" max="9990" width="9.1328125" style="382"/>
    <col min="9991" max="9991" width="8.265625" style="382" customWidth="1"/>
    <col min="9992" max="9992" width="42" style="382" customWidth="1"/>
    <col min="9993" max="9994" width="10" style="382" customWidth="1"/>
    <col min="9995" max="9995" width="10.3984375" style="382" customWidth="1"/>
    <col min="9996" max="9996" width="9.3984375" style="382" customWidth="1"/>
    <col min="9997" max="9997" width="16.265625" style="382" customWidth="1"/>
    <col min="9998" max="9999" width="14.73046875" style="382" customWidth="1"/>
    <col min="10000" max="10009" width="0" style="382" hidden="1" customWidth="1"/>
    <col min="10010" max="10010" width="15.3984375" style="382" customWidth="1"/>
    <col min="10011" max="10011" width="14.1328125" style="382" customWidth="1"/>
    <col min="10012" max="10013" width="14" style="382" customWidth="1"/>
    <col min="10014" max="10014" width="15.1328125" style="382" customWidth="1"/>
    <col min="10015" max="10017" width="12.3984375" style="382" customWidth="1"/>
    <col min="10018" max="10018" width="14" style="382" customWidth="1"/>
    <col min="10019" max="10021" width="11.86328125" style="382" customWidth="1"/>
    <col min="10022" max="10022" width="22.3984375" style="382" customWidth="1"/>
    <col min="10023" max="10023" width="15.265625" style="382" customWidth="1"/>
    <col min="10024" max="10024" width="13.1328125" style="382" customWidth="1"/>
    <col min="10025" max="10026" width="8.86328125" style="382" customWidth="1"/>
    <col min="10027" max="10027" width="12.86328125" style="382" customWidth="1"/>
    <col min="10028" max="10031" width="8.86328125" style="382" customWidth="1"/>
    <col min="10032" max="10032" width="15.3984375" style="382" customWidth="1"/>
    <col min="10033" max="10033" width="14.265625" style="382" customWidth="1"/>
    <col min="10034" max="10246" width="9.1328125" style="382"/>
    <col min="10247" max="10247" width="8.265625" style="382" customWidth="1"/>
    <col min="10248" max="10248" width="42" style="382" customWidth="1"/>
    <col min="10249" max="10250" width="10" style="382" customWidth="1"/>
    <col min="10251" max="10251" width="10.3984375" style="382" customWidth="1"/>
    <col min="10252" max="10252" width="9.3984375" style="382" customWidth="1"/>
    <col min="10253" max="10253" width="16.265625" style="382" customWidth="1"/>
    <col min="10254" max="10255" width="14.73046875" style="382" customWidth="1"/>
    <col min="10256" max="10265" width="0" style="382" hidden="1" customWidth="1"/>
    <col min="10266" max="10266" width="15.3984375" style="382" customWidth="1"/>
    <col min="10267" max="10267" width="14.1328125" style="382" customWidth="1"/>
    <col min="10268" max="10269" width="14" style="382" customWidth="1"/>
    <col min="10270" max="10270" width="15.1328125" style="382" customWidth="1"/>
    <col min="10271" max="10273" width="12.3984375" style="382" customWidth="1"/>
    <col min="10274" max="10274" width="14" style="382" customWidth="1"/>
    <col min="10275" max="10277" width="11.86328125" style="382" customWidth="1"/>
    <col min="10278" max="10278" width="22.3984375" style="382" customWidth="1"/>
    <col min="10279" max="10279" width="15.265625" style="382" customWidth="1"/>
    <col min="10280" max="10280" width="13.1328125" style="382" customWidth="1"/>
    <col min="10281" max="10282" width="8.86328125" style="382" customWidth="1"/>
    <col min="10283" max="10283" width="12.86328125" style="382" customWidth="1"/>
    <col min="10284" max="10287" width="8.86328125" style="382" customWidth="1"/>
    <col min="10288" max="10288" width="15.3984375" style="382" customWidth="1"/>
    <col min="10289" max="10289" width="14.265625" style="382" customWidth="1"/>
    <col min="10290" max="10502" width="9.1328125" style="382"/>
    <col min="10503" max="10503" width="8.265625" style="382" customWidth="1"/>
    <col min="10504" max="10504" width="42" style="382" customWidth="1"/>
    <col min="10505" max="10506" width="10" style="382" customWidth="1"/>
    <col min="10507" max="10507" width="10.3984375" style="382" customWidth="1"/>
    <col min="10508" max="10508" width="9.3984375" style="382" customWidth="1"/>
    <col min="10509" max="10509" width="16.265625" style="382" customWidth="1"/>
    <col min="10510" max="10511" width="14.73046875" style="382" customWidth="1"/>
    <col min="10512" max="10521" width="0" style="382" hidden="1" customWidth="1"/>
    <col min="10522" max="10522" width="15.3984375" style="382" customWidth="1"/>
    <col min="10523" max="10523" width="14.1328125" style="382" customWidth="1"/>
    <col min="10524" max="10525" width="14" style="382" customWidth="1"/>
    <col min="10526" max="10526" width="15.1328125" style="382" customWidth="1"/>
    <col min="10527" max="10529" width="12.3984375" style="382" customWidth="1"/>
    <col min="10530" max="10530" width="14" style="382" customWidth="1"/>
    <col min="10531" max="10533" width="11.86328125" style="382" customWidth="1"/>
    <col min="10534" max="10534" width="22.3984375" style="382" customWidth="1"/>
    <col min="10535" max="10535" width="15.265625" style="382" customWidth="1"/>
    <col min="10536" max="10536" width="13.1328125" style="382" customWidth="1"/>
    <col min="10537" max="10538" width="8.86328125" style="382" customWidth="1"/>
    <col min="10539" max="10539" width="12.86328125" style="382" customWidth="1"/>
    <col min="10540" max="10543" width="8.86328125" style="382" customWidth="1"/>
    <col min="10544" max="10544" width="15.3984375" style="382" customWidth="1"/>
    <col min="10545" max="10545" width="14.265625" style="382" customWidth="1"/>
    <col min="10546" max="10758" width="9.1328125" style="382"/>
    <col min="10759" max="10759" width="8.265625" style="382" customWidth="1"/>
    <col min="10760" max="10760" width="42" style="382" customWidth="1"/>
    <col min="10761" max="10762" width="10" style="382" customWidth="1"/>
    <col min="10763" max="10763" width="10.3984375" style="382" customWidth="1"/>
    <col min="10764" max="10764" width="9.3984375" style="382" customWidth="1"/>
    <col min="10765" max="10765" width="16.265625" style="382" customWidth="1"/>
    <col min="10766" max="10767" width="14.73046875" style="382" customWidth="1"/>
    <col min="10768" max="10777" width="0" style="382" hidden="1" customWidth="1"/>
    <col min="10778" max="10778" width="15.3984375" style="382" customWidth="1"/>
    <col min="10779" max="10779" width="14.1328125" style="382" customWidth="1"/>
    <col min="10780" max="10781" width="14" style="382" customWidth="1"/>
    <col min="10782" max="10782" width="15.1328125" style="382" customWidth="1"/>
    <col min="10783" max="10785" width="12.3984375" style="382" customWidth="1"/>
    <col min="10786" max="10786" width="14" style="382" customWidth="1"/>
    <col min="10787" max="10789" width="11.86328125" style="382" customWidth="1"/>
    <col min="10790" max="10790" width="22.3984375" style="382" customWidth="1"/>
    <col min="10791" max="10791" width="15.265625" style="382" customWidth="1"/>
    <col min="10792" max="10792" width="13.1328125" style="382" customWidth="1"/>
    <col min="10793" max="10794" width="8.86328125" style="382" customWidth="1"/>
    <col min="10795" max="10795" width="12.86328125" style="382" customWidth="1"/>
    <col min="10796" max="10799" width="8.86328125" style="382" customWidth="1"/>
    <col min="10800" max="10800" width="15.3984375" style="382" customWidth="1"/>
    <col min="10801" max="10801" width="14.265625" style="382" customWidth="1"/>
    <col min="10802" max="11014" width="9.1328125" style="382"/>
    <col min="11015" max="11015" width="8.265625" style="382" customWidth="1"/>
    <col min="11016" max="11016" width="42" style="382" customWidth="1"/>
    <col min="11017" max="11018" width="10" style="382" customWidth="1"/>
    <col min="11019" max="11019" width="10.3984375" style="382" customWidth="1"/>
    <col min="11020" max="11020" width="9.3984375" style="382" customWidth="1"/>
    <col min="11021" max="11021" width="16.265625" style="382" customWidth="1"/>
    <col min="11022" max="11023" width="14.73046875" style="382" customWidth="1"/>
    <col min="11024" max="11033" width="0" style="382" hidden="1" customWidth="1"/>
    <col min="11034" max="11034" width="15.3984375" style="382" customWidth="1"/>
    <col min="11035" max="11035" width="14.1328125" style="382" customWidth="1"/>
    <col min="11036" max="11037" width="14" style="382" customWidth="1"/>
    <col min="11038" max="11038" width="15.1328125" style="382" customWidth="1"/>
    <col min="11039" max="11041" width="12.3984375" style="382" customWidth="1"/>
    <col min="11042" max="11042" width="14" style="382" customWidth="1"/>
    <col min="11043" max="11045" width="11.86328125" style="382" customWidth="1"/>
    <col min="11046" max="11046" width="22.3984375" style="382" customWidth="1"/>
    <col min="11047" max="11047" width="15.265625" style="382" customWidth="1"/>
    <col min="11048" max="11048" width="13.1328125" style="382" customWidth="1"/>
    <col min="11049" max="11050" width="8.86328125" style="382" customWidth="1"/>
    <col min="11051" max="11051" width="12.86328125" style="382" customWidth="1"/>
    <col min="11052" max="11055" width="8.86328125" style="382" customWidth="1"/>
    <col min="11056" max="11056" width="15.3984375" style="382" customWidth="1"/>
    <col min="11057" max="11057" width="14.265625" style="382" customWidth="1"/>
    <col min="11058" max="11270" width="9.1328125" style="382"/>
    <col min="11271" max="11271" width="8.265625" style="382" customWidth="1"/>
    <col min="11272" max="11272" width="42" style="382" customWidth="1"/>
    <col min="11273" max="11274" width="10" style="382" customWidth="1"/>
    <col min="11275" max="11275" width="10.3984375" style="382" customWidth="1"/>
    <col min="11276" max="11276" width="9.3984375" style="382" customWidth="1"/>
    <col min="11277" max="11277" width="16.265625" style="382" customWidth="1"/>
    <col min="11278" max="11279" width="14.73046875" style="382" customWidth="1"/>
    <col min="11280" max="11289" width="0" style="382" hidden="1" customWidth="1"/>
    <col min="11290" max="11290" width="15.3984375" style="382" customWidth="1"/>
    <col min="11291" max="11291" width="14.1328125" style="382" customWidth="1"/>
    <col min="11292" max="11293" width="14" style="382" customWidth="1"/>
    <col min="11294" max="11294" width="15.1328125" style="382" customWidth="1"/>
    <col min="11295" max="11297" width="12.3984375" style="382" customWidth="1"/>
    <col min="11298" max="11298" width="14" style="382" customWidth="1"/>
    <col min="11299" max="11301" width="11.86328125" style="382" customWidth="1"/>
    <col min="11302" max="11302" width="22.3984375" style="382" customWidth="1"/>
    <col min="11303" max="11303" width="15.265625" style="382" customWidth="1"/>
    <col min="11304" max="11304" width="13.1328125" style="382" customWidth="1"/>
    <col min="11305" max="11306" width="8.86328125" style="382" customWidth="1"/>
    <col min="11307" max="11307" width="12.86328125" style="382" customWidth="1"/>
    <col min="11308" max="11311" width="8.86328125" style="382" customWidth="1"/>
    <col min="11312" max="11312" width="15.3984375" style="382" customWidth="1"/>
    <col min="11313" max="11313" width="14.265625" style="382" customWidth="1"/>
    <col min="11314" max="11526" width="9.1328125" style="382"/>
    <col min="11527" max="11527" width="8.265625" style="382" customWidth="1"/>
    <col min="11528" max="11528" width="42" style="382" customWidth="1"/>
    <col min="11529" max="11530" width="10" style="382" customWidth="1"/>
    <col min="11531" max="11531" width="10.3984375" style="382" customWidth="1"/>
    <col min="11532" max="11532" width="9.3984375" style="382" customWidth="1"/>
    <col min="11533" max="11533" width="16.265625" style="382" customWidth="1"/>
    <col min="11534" max="11535" width="14.73046875" style="382" customWidth="1"/>
    <col min="11536" max="11545" width="0" style="382" hidden="1" customWidth="1"/>
    <col min="11546" max="11546" width="15.3984375" style="382" customWidth="1"/>
    <col min="11547" max="11547" width="14.1328125" style="382" customWidth="1"/>
    <col min="11548" max="11549" width="14" style="382" customWidth="1"/>
    <col min="11550" max="11550" width="15.1328125" style="382" customWidth="1"/>
    <col min="11551" max="11553" width="12.3984375" style="382" customWidth="1"/>
    <col min="11554" max="11554" width="14" style="382" customWidth="1"/>
    <col min="11555" max="11557" width="11.86328125" style="382" customWidth="1"/>
    <col min="11558" max="11558" width="22.3984375" style="382" customWidth="1"/>
    <col min="11559" max="11559" width="15.265625" style="382" customWidth="1"/>
    <col min="11560" max="11560" width="13.1328125" style="382" customWidth="1"/>
    <col min="11561" max="11562" width="8.86328125" style="382" customWidth="1"/>
    <col min="11563" max="11563" width="12.86328125" style="382" customWidth="1"/>
    <col min="11564" max="11567" width="8.86328125" style="382" customWidth="1"/>
    <col min="11568" max="11568" width="15.3984375" style="382" customWidth="1"/>
    <col min="11569" max="11569" width="14.265625" style="382" customWidth="1"/>
    <col min="11570" max="11782" width="9.1328125" style="382"/>
    <col min="11783" max="11783" width="8.265625" style="382" customWidth="1"/>
    <col min="11784" max="11784" width="42" style="382" customWidth="1"/>
    <col min="11785" max="11786" width="10" style="382" customWidth="1"/>
    <col min="11787" max="11787" width="10.3984375" style="382" customWidth="1"/>
    <col min="11788" max="11788" width="9.3984375" style="382" customWidth="1"/>
    <col min="11789" max="11789" width="16.265625" style="382" customWidth="1"/>
    <col min="11790" max="11791" width="14.73046875" style="382" customWidth="1"/>
    <col min="11792" max="11801" width="0" style="382" hidden="1" customWidth="1"/>
    <col min="11802" max="11802" width="15.3984375" style="382" customWidth="1"/>
    <col min="11803" max="11803" width="14.1328125" style="382" customWidth="1"/>
    <col min="11804" max="11805" width="14" style="382" customWidth="1"/>
    <col min="11806" max="11806" width="15.1328125" style="382" customWidth="1"/>
    <col min="11807" max="11809" width="12.3984375" style="382" customWidth="1"/>
    <col min="11810" max="11810" width="14" style="382" customWidth="1"/>
    <col min="11811" max="11813" width="11.86328125" style="382" customWidth="1"/>
    <col min="11814" max="11814" width="22.3984375" style="382" customWidth="1"/>
    <col min="11815" max="11815" width="15.265625" style="382" customWidth="1"/>
    <col min="11816" max="11816" width="13.1328125" style="382" customWidth="1"/>
    <col min="11817" max="11818" width="8.86328125" style="382" customWidth="1"/>
    <col min="11819" max="11819" width="12.86328125" style="382" customWidth="1"/>
    <col min="11820" max="11823" width="8.86328125" style="382" customWidth="1"/>
    <col min="11824" max="11824" width="15.3984375" style="382" customWidth="1"/>
    <col min="11825" max="11825" width="14.265625" style="382" customWidth="1"/>
    <col min="11826" max="12038" width="9.1328125" style="382"/>
    <col min="12039" max="12039" width="8.265625" style="382" customWidth="1"/>
    <col min="12040" max="12040" width="42" style="382" customWidth="1"/>
    <col min="12041" max="12042" width="10" style="382" customWidth="1"/>
    <col min="12043" max="12043" width="10.3984375" style="382" customWidth="1"/>
    <col min="12044" max="12044" width="9.3984375" style="382" customWidth="1"/>
    <col min="12045" max="12045" width="16.265625" style="382" customWidth="1"/>
    <col min="12046" max="12047" width="14.73046875" style="382" customWidth="1"/>
    <col min="12048" max="12057" width="0" style="382" hidden="1" customWidth="1"/>
    <col min="12058" max="12058" width="15.3984375" style="382" customWidth="1"/>
    <col min="12059" max="12059" width="14.1328125" style="382" customWidth="1"/>
    <col min="12060" max="12061" width="14" style="382" customWidth="1"/>
    <col min="12062" max="12062" width="15.1328125" style="382" customWidth="1"/>
    <col min="12063" max="12065" width="12.3984375" style="382" customWidth="1"/>
    <col min="12066" max="12066" width="14" style="382" customWidth="1"/>
    <col min="12067" max="12069" width="11.86328125" style="382" customWidth="1"/>
    <col min="12070" max="12070" width="22.3984375" style="382" customWidth="1"/>
    <col min="12071" max="12071" width="15.265625" style="382" customWidth="1"/>
    <col min="12072" max="12072" width="13.1328125" style="382" customWidth="1"/>
    <col min="12073" max="12074" width="8.86328125" style="382" customWidth="1"/>
    <col min="12075" max="12075" width="12.86328125" style="382" customWidth="1"/>
    <col min="12076" max="12079" width="8.86328125" style="382" customWidth="1"/>
    <col min="12080" max="12080" width="15.3984375" style="382" customWidth="1"/>
    <col min="12081" max="12081" width="14.265625" style="382" customWidth="1"/>
    <col min="12082" max="12294" width="9.1328125" style="382"/>
    <col min="12295" max="12295" width="8.265625" style="382" customWidth="1"/>
    <col min="12296" max="12296" width="42" style="382" customWidth="1"/>
    <col min="12297" max="12298" width="10" style="382" customWidth="1"/>
    <col min="12299" max="12299" width="10.3984375" style="382" customWidth="1"/>
    <col min="12300" max="12300" width="9.3984375" style="382" customWidth="1"/>
    <col min="12301" max="12301" width="16.265625" style="382" customWidth="1"/>
    <col min="12302" max="12303" width="14.73046875" style="382" customWidth="1"/>
    <col min="12304" max="12313" width="0" style="382" hidden="1" customWidth="1"/>
    <col min="12314" max="12314" width="15.3984375" style="382" customWidth="1"/>
    <col min="12315" max="12315" width="14.1328125" style="382" customWidth="1"/>
    <col min="12316" max="12317" width="14" style="382" customWidth="1"/>
    <col min="12318" max="12318" width="15.1328125" style="382" customWidth="1"/>
    <col min="12319" max="12321" width="12.3984375" style="382" customWidth="1"/>
    <col min="12322" max="12322" width="14" style="382" customWidth="1"/>
    <col min="12323" max="12325" width="11.86328125" style="382" customWidth="1"/>
    <col min="12326" max="12326" width="22.3984375" style="382" customWidth="1"/>
    <col min="12327" max="12327" width="15.265625" style="382" customWidth="1"/>
    <col min="12328" max="12328" width="13.1328125" style="382" customWidth="1"/>
    <col min="12329" max="12330" width="8.86328125" style="382" customWidth="1"/>
    <col min="12331" max="12331" width="12.86328125" style="382" customWidth="1"/>
    <col min="12332" max="12335" width="8.86328125" style="382" customWidth="1"/>
    <col min="12336" max="12336" width="15.3984375" style="382" customWidth="1"/>
    <col min="12337" max="12337" width="14.265625" style="382" customWidth="1"/>
    <col min="12338" max="12550" width="9.1328125" style="382"/>
    <col min="12551" max="12551" width="8.265625" style="382" customWidth="1"/>
    <col min="12552" max="12552" width="42" style="382" customWidth="1"/>
    <col min="12553" max="12554" width="10" style="382" customWidth="1"/>
    <col min="12555" max="12555" width="10.3984375" style="382" customWidth="1"/>
    <col min="12556" max="12556" width="9.3984375" style="382" customWidth="1"/>
    <col min="12557" max="12557" width="16.265625" style="382" customWidth="1"/>
    <col min="12558" max="12559" width="14.73046875" style="382" customWidth="1"/>
    <col min="12560" max="12569" width="0" style="382" hidden="1" customWidth="1"/>
    <col min="12570" max="12570" width="15.3984375" style="382" customWidth="1"/>
    <col min="12571" max="12571" width="14.1328125" style="382" customWidth="1"/>
    <col min="12572" max="12573" width="14" style="382" customWidth="1"/>
    <col min="12574" max="12574" width="15.1328125" style="382" customWidth="1"/>
    <col min="12575" max="12577" width="12.3984375" style="382" customWidth="1"/>
    <col min="12578" max="12578" width="14" style="382" customWidth="1"/>
    <col min="12579" max="12581" width="11.86328125" style="382" customWidth="1"/>
    <col min="12582" max="12582" width="22.3984375" style="382" customWidth="1"/>
    <col min="12583" max="12583" width="15.265625" style="382" customWidth="1"/>
    <col min="12584" max="12584" width="13.1328125" style="382" customWidth="1"/>
    <col min="12585" max="12586" width="8.86328125" style="382" customWidth="1"/>
    <col min="12587" max="12587" width="12.86328125" style="382" customWidth="1"/>
    <col min="12588" max="12591" width="8.86328125" style="382" customWidth="1"/>
    <col min="12592" max="12592" width="15.3984375" style="382" customWidth="1"/>
    <col min="12593" max="12593" width="14.265625" style="382" customWidth="1"/>
    <col min="12594" max="12806" width="9.1328125" style="382"/>
    <col min="12807" max="12807" width="8.265625" style="382" customWidth="1"/>
    <col min="12808" max="12808" width="42" style="382" customWidth="1"/>
    <col min="12809" max="12810" width="10" style="382" customWidth="1"/>
    <col min="12811" max="12811" width="10.3984375" style="382" customWidth="1"/>
    <col min="12812" max="12812" width="9.3984375" style="382" customWidth="1"/>
    <col min="12813" max="12813" width="16.265625" style="382" customWidth="1"/>
    <col min="12814" max="12815" width="14.73046875" style="382" customWidth="1"/>
    <col min="12816" max="12825" width="0" style="382" hidden="1" customWidth="1"/>
    <col min="12826" max="12826" width="15.3984375" style="382" customWidth="1"/>
    <col min="12827" max="12827" width="14.1328125" style="382" customWidth="1"/>
    <col min="12828" max="12829" width="14" style="382" customWidth="1"/>
    <col min="12830" max="12830" width="15.1328125" style="382" customWidth="1"/>
    <col min="12831" max="12833" width="12.3984375" style="382" customWidth="1"/>
    <col min="12834" max="12834" width="14" style="382" customWidth="1"/>
    <col min="12835" max="12837" width="11.86328125" style="382" customWidth="1"/>
    <col min="12838" max="12838" width="22.3984375" style="382" customWidth="1"/>
    <col min="12839" max="12839" width="15.265625" style="382" customWidth="1"/>
    <col min="12840" max="12840" width="13.1328125" style="382" customWidth="1"/>
    <col min="12841" max="12842" width="8.86328125" style="382" customWidth="1"/>
    <col min="12843" max="12843" width="12.86328125" style="382" customWidth="1"/>
    <col min="12844" max="12847" width="8.86328125" style="382" customWidth="1"/>
    <col min="12848" max="12848" width="15.3984375" style="382" customWidth="1"/>
    <col min="12849" max="12849" width="14.265625" style="382" customWidth="1"/>
    <col min="12850" max="13062" width="9.1328125" style="382"/>
    <col min="13063" max="13063" width="8.265625" style="382" customWidth="1"/>
    <col min="13064" max="13064" width="42" style="382" customWidth="1"/>
    <col min="13065" max="13066" width="10" style="382" customWidth="1"/>
    <col min="13067" max="13067" width="10.3984375" style="382" customWidth="1"/>
    <col min="13068" max="13068" width="9.3984375" style="382" customWidth="1"/>
    <col min="13069" max="13069" width="16.265625" style="382" customWidth="1"/>
    <col min="13070" max="13071" width="14.73046875" style="382" customWidth="1"/>
    <col min="13072" max="13081" width="0" style="382" hidden="1" customWidth="1"/>
    <col min="13082" max="13082" width="15.3984375" style="382" customWidth="1"/>
    <col min="13083" max="13083" width="14.1328125" style="382" customWidth="1"/>
    <col min="13084" max="13085" width="14" style="382" customWidth="1"/>
    <col min="13086" max="13086" width="15.1328125" style="382" customWidth="1"/>
    <col min="13087" max="13089" width="12.3984375" style="382" customWidth="1"/>
    <col min="13090" max="13090" width="14" style="382" customWidth="1"/>
    <col min="13091" max="13093" width="11.86328125" style="382" customWidth="1"/>
    <col min="13094" max="13094" width="22.3984375" style="382" customWidth="1"/>
    <col min="13095" max="13095" width="15.265625" style="382" customWidth="1"/>
    <col min="13096" max="13096" width="13.1328125" style="382" customWidth="1"/>
    <col min="13097" max="13098" width="8.86328125" style="382" customWidth="1"/>
    <col min="13099" max="13099" width="12.86328125" style="382" customWidth="1"/>
    <col min="13100" max="13103" width="8.86328125" style="382" customWidth="1"/>
    <col min="13104" max="13104" width="15.3984375" style="382" customWidth="1"/>
    <col min="13105" max="13105" width="14.265625" style="382" customWidth="1"/>
    <col min="13106" max="13318" width="9.1328125" style="382"/>
    <col min="13319" max="13319" width="8.265625" style="382" customWidth="1"/>
    <col min="13320" max="13320" width="42" style="382" customWidth="1"/>
    <col min="13321" max="13322" width="10" style="382" customWidth="1"/>
    <col min="13323" max="13323" width="10.3984375" style="382" customWidth="1"/>
    <col min="13324" max="13324" width="9.3984375" style="382" customWidth="1"/>
    <col min="13325" max="13325" width="16.265625" style="382" customWidth="1"/>
    <col min="13326" max="13327" width="14.73046875" style="382" customWidth="1"/>
    <col min="13328" max="13337" width="0" style="382" hidden="1" customWidth="1"/>
    <col min="13338" max="13338" width="15.3984375" style="382" customWidth="1"/>
    <col min="13339" max="13339" width="14.1328125" style="382" customWidth="1"/>
    <col min="13340" max="13341" width="14" style="382" customWidth="1"/>
    <col min="13342" max="13342" width="15.1328125" style="382" customWidth="1"/>
    <col min="13343" max="13345" width="12.3984375" style="382" customWidth="1"/>
    <col min="13346" max="13346" width="14" style="382" customWidth="1"/>
    <col min="13347" max="13349" width="11.86328125" style="382" customWidth="1"/>
    <col min="13350" max="13350" width="22.3984375" style="382" customWidth="1"/>
    <col min="13351" max="13351" width="15.265625" style="382" customWidth="1"/>
    <col min="13352" max="13352" width="13.1328125" style="382" customWidth="1"/>
    <col min="13353" max="13354" width="8.86328125" style="382" customWidth="1"/>
    <col min="13355" max="13355" width="12.86328125" style="382" customWidth="1"/>
    <col min="13356" max="13359" width="8.86328125" style="382" customWidth="1"/>
    <col min="13360" max="13360" width="15.3984375" style="382" customWidth="1"/>
    <col min="13361" max="13361" width="14.265625" style="382" customWidth="1"/>
    <col min="13362" max="13574" width="9.1328125" style="382"/>
    <col min="13575" max="13575" width="8.265625" style="382" customWidth="1"/>
    <col min="13576" max="13576" width="42" style="382" customWidth="1"/>
    <col min="13577" max="13578" width="10" style="382" customWidth="1"/>
    <col min="13579" max="13579" width="10.3984375" style="382" customWidth="1"/>
    <col min="13580" max="13580" width="9.3984375" style="382" customWidth="1"/>
    <col min="13581" max="13581" width="16.265625" style="382" customWidth="1"/>
    <col min="13582" max="13583" width="14.73046875" style="382" customWidth="1"/>
    <col min="13584" max="13593" width="0" style="382" hidden="1" customWidth="1"/>
    <col min="13594" max="13594" width="15.3984375" style="382" customWidth="1"/>
    <col min="13595" max="13595" width="14.1328125" style="382" customWidth="1"/>
    <col min="13596" max="13597" width="14" style="382" customWidth="1"/>
    <col min="13598" max="13598" width="15.1328125" style="382" customWidth="1"/>
    <col min="13599" max="13601" width="12.3984375" style="382" customWidth="1"/>
    <col min="13602" max="13602" width="14" style="382" customWidth="1"/>
    <col min="13603" max="13605" width="11.86328125" style="382" customWidth="1"/>
    <col min="13606" max="13606" width="22.3984375" style="382" customWidth="1"/>
    <col min="13607" max="13607" width="15.265625" style="382" customWidth="1"/>
    <col min="13608" max="13608" width="13.1328125" style="382" customWidth="1"/>
    <col min="13609" max="13610" width="8.86328125" style="382" customWidth="1"/>
    <col min="13611" max="13611" width="12.86328125" style="382" customWidth="1"/>
    <col min="13612" max="13615" width="8.86328125" style="382" customWidth="1"/>
    <col min="13616" max="13616" width="15.3984375" style="382" customWidth="1"/>
    <col min="13617" max="13617" width="14.265625" style="382" customWidth="1"/>
    <col min="13618" max="13830" width="9.1328125" style="382"/>
    <col min="13831" max="13831" width="8.265625" style="382" customWidth="1"/>
    <col min="13832" max="13832" width="42" style="382" customWidth="1"/>
    <col min="13833" max="13834" width="10" style="382" customWidth="1"/>
    <col min="13835" max="13835" width="10.3984375" style="382" customWidth="1"/>
    <col min="13836" max="13836" width="9.3984375" style="382" customWidth="1"/>
    <col min="13837" max="13837" width="16.265625" style="382" customWidth="1"/>
    <col min="13838" max="13839" width="14.73046875" style="382" customWidth="1"/>
    <col min="13840" max="13849" width="0" style="382" hidden="1" customWidth="1"/>
    <col min="13850" max="13850" width="15.3984375" style="382" customWidth="1"/>
    <col min="13851" max="13851" width="14.1328125" style="382" customWidth="1"/>
    <col min="13852" max="13853" width="14" style="382" customWidth="1"/>
    <col min="13854" max="13854" width="15.1328125" style="382" customWidth="1"/>
    <col min="13855" max="13857" width="12.3984375" style="382" customWidth="1"/>
    <col min="13858" max="13858" width="14" style="382" customWidth="1"/>
    <col min="13859" max="13861" width="11.86328125" style="382" customWidth="1"/>
    <col min="13862" max="13862" width="22.3984375" style="382" customWidth="1"/>
    <col min="13863" max="13863" width="15.265625" style="382" customWidth="1"/>
    <col min="13864" max="13864" width="13.1328125" style="382" customWidth="1"/>
    <col min="13865" max="13866" width="8.86328125" style="382" customWidth="1"/>
    <col min="13867" max="13867" width="12.86328125" style="382" customWidth="1"/>
    <col min="13868" max="13871" width="8.86328125" style="382" customWidth="1"/>
    <col min="13872" max="13872" width="15.3984375" style="382" customWidth="1"/>
    <col min="13873" max="13873" width="14.265625" style="382" customWidth="1"/>
    <col min="13874" max="14086" width="9.1328125" style="382"/>
    <col min="14087" max="14087" width="8.265625" style="382" customWidth="1"/>
    <col min="14088" max="14088" width="42" style="382" customWidth="1"/>
    <col min="14089" max="14090" width="10" style="382" customWidth="1"/>
    <col min="14091" max="14091" width="10.3984375" style="382" customWidth="1"/>
    <col min="14092" max="14092" width="9.3984375" style="382" customWidth="1"/>
    <col min="14093" max="14093" width="16.265625" style="382" customWidth="1"/>
    <col min="14094" max="14095" width="14.73046875" style="382" customWidth="1"/>
    <col min="14096" max="14105" width="0" style="382" hidden="1" customWidth="1"/>
    <col min="14106" max="14106" width="15.3984375" style="382" customWidth="1"/>
    <col min="14107" max="14107" width="14.1328125" style="382" customWidth="1"/>
    <col min="14108" max="14109" width="14" style="382" customWidth="1"/>
    <col min="14110" max="14110" width="15.1328125" style="382" customWidth="1"/>
    <col min="14111" max="14113" width="12.3984375" style="382" customWidth="1"/>
    <col min="14114" max="14114" width="14" style="382" customWidth="1"/>
    <col min="14115" max="14117" width="11.86328125" style="382" customWidth="1"/>
    <col min="14118" max="14118" width="22.3984375" style="382" customWidth="1"/>
    <col min="14119" max="14119" width="15.265625" style="382" customWidth="1"/>
    <col min="14120" max="14120" width="13.1328125" style="382" customWidth="1"/>
    <col min="14121" max="14122" width="8.86328125" style="382" customWidth="1"/>
    <col min="14123" max="14123" width="12.86328125" style="382" customWidth="1"/>
    <col min="14124" max="14127" width="8.86328125" style="382" customWidth="1"/>
    <col min="14128" max="14128" width="15.3984375" style="382" customWidth="1"/>
    <col min="14129" max="14129" width="14.265625" style="382" customWidth="1"/>
    <col min="14130" max="14342" width="9.1328125" style="382"/>
    <col min="14343" max="14343" width="8.265625" style="382" customWidth="1"/>
    <col min="14344" max="14344" width="42" style="382" customWidth="1"/>
    <col min="14345" max="14346" width="10" style="382" customWidth="1"/>
    <col min="14347" max="14347" width="10.3984375" style="382" customWidth="1"/>
    <col min="14348" max="14348" width="9.3984375" style="382" customWidth="1"/>
    <col min="14349" max="14349" width="16.265625" style="382" customWidth="1"/>
    <col min="14350" max="14351" width="14.73046875" style="382" customWidth="1"/>
    <col min="14352" max="14361" width="0" style="382" hidden="1" customWidth="1"/>
    <col min="14362" max="14362" width="15.3984375" style="382" customWidth="1"/>
    <col min="14363" max="14363" width="14.1328125" style="382" customWidth="1"/>
    <col min="14364" max="14365" width="14" style="382" customWidth="1"/>
    <col min="14366" max="14366" width="15.1328125" style="382" customWidth="1"/>
    <col min="14367" max="14369" width="12.3984375" style="382" customWidth="1"/>
    <col min="14370" max="14370" width="14" style="382" customWidth="1"/>
    <col min="14371" max="14373" width="11.86328125" style="382" customWidth="1"/>
    <col min="14374" max="14374" width="22.3984375" style="382" customWidth="1"/>
    <col min="14375" max="14375" width="15.265625" style="382" customWidth="1"/>
    <col min="14376" max="14376" width="13.1328125" style="382" customWidth="1"/>
    <col min="14377" max="14378" width="8.86328125" style="382" customWidth="1"/>
    <col min="14379" max="14379" width="12.86328125" style="382" customWidth="1"/>
    <col min="14380" max="14383" width="8.86328125" style="382" customWidth="1"/>
    <col min="14384" max="14384" width="15.3984375" style="382" customWidth="1"/>
    <col min="14385" max="14385" width="14.265625" style="382" customWidth="1"/>
    <col min="14386" max="14598" width="9.1328125" style="382"/>
    <col min="14599" max="14599" width="8.265625" style="382" customWidth="1"/>
    <col min="14600" max="14600" width="42" style="382" customWidth="1"/>
    <col min="14601" max="14602" width="10" style="382" customWidth="1"/>
    <col min="14603" max="14603" width="10.3984375" style="382" customWidth="1"/>
    <col min="14604" max="14604" width="9.3984375" style="382" customWidth="1"/>
    <col min="14605" max="14605" width="16.265625" style="382" customWidth="1"/>
    <col min="14606" max="14607" width="14.73046875" style="382" customWidth="1"/>
    <col min="14608" max="14617" width="0" style="382" hidden="1" customWidth="1"/>
    <col min="14618" max="14618" width="15.3984375" style="382" customWidth="1"/>
    <col min="14619" max="14619" width="14.1328125" style="382" customWidth="1"/>
    <col min="14620" max="14621" width="14" style="382" customWidth="1"/>
    <col min="14622" max="14622" width="15.1328125" style="382" customWidth="1"/>
    <col min="14623" max="14625" width="12.3984375" style="382" customWidth="1"/>
    <col min="14626" max="14626" width="14" style="382" customWidth="1"/>
    <col min="14627" max="14629" width="11.86328125" style="382" customWidth="1"/>
    <col min="14630" max="14630" width="22.3984375" style="382" customWidth="1"/>
    <col min="14631" max="14631" width="15.265625" style="382" customWidth="1"/>
    <col min="14632" max="14632" width="13.1328125" style="382" customWidth="1"/>
    <col min="14633" max="14634" width="8.86328125" style="382" customWidth="1"/>
    <col min="14635" max="14635" width="12.86328125" style="382" customWidth="1"/>
    <col min="14636" max="14639" width="8.86328125" style="382" customWidth="1"/>
    <col min="14640" max="14640" width="15.3984375" style="382" customWidth="1"/>
    <col min="14641" max="14641" width="14.265625" style="382" customWidth="1"/>
    <col min="14642" max="14854" width="9.1328125" style="382"/>
    <col min="14855" max="14855" width="8.265625" style="382" customWidth="1"/>
    <col min="14856" max="14856" width="42" style="382" customWidth="1"/>
    <col min="14857" max="14858" width="10" style="382" customWidth="1"/>
    <col min="14859" max="14859" width="10.3984375" style="382" customWidth="1"/>
    <col min="14860" max="14860" width="9.3984375" style="382" customWidth="1"/>
    <col min="14861" max="14861" width="16.265625" style="382" customWidth="1"/>
    <col min="14862" max="14863" width="14.73046875" style="382" customWidth="1"/>
    <col min="14864" max="14873" width="0" style="382" hidden="1" customWidth="1"/>
    <col min="14874" max="14874" width="15.3984375" style="382" customWidth="1"/>
    <col min="14875" max="14875" width="14.1328125" style="382" customWidth="1"/>
    <col min="14876" max="14877" width="14" style="382" customWidth="1"/>
    <col min="14878" max="14878" width="15.1328125" style="382" customWidth="1"/>
    <col min="14879" max="14881" width="12.3984375" style="382" customWidth="1"/>
    <col min="14882" max="14882" width="14" style="382" customWidth="1"/>
    <col min="14883" max="14885" width="11.86328125" style="382" customWidth="1"/>
    <col min="14886" max="14886" width="22.3984375" style="382" customWidth="1"/>
    <col min="14887" max="14887" width="15.265625" style="382" customWidth="1"/>
    <col min="14888" max="14888" width="13.1328125" style="382" customWidth="1"/>
    <col min="14889" max="14890" width="8.86328125" style="382" customWidth="1"/>
    <col min="14891" max="14891" width="12.86328125" style="382" customWidth="1"/>
    <col min="14892" max="14895" width="8.86328125" style="382" customWidth="1"/>
    <col min="14896" max="14896" width="15.3984375" style="382" customWidth="1"/>
    <col min="14897" max="14897" width="14.265625" style="382" customWidth="1"/>
    <col min="14898" max="15110" width="9.1328125" style="382"/>
    <col min="15111" max="15111" width="8.265625" style="382" customWidth="1"/>
    <col min="15112" max="15112" width="42" style="382" customWidth="1"/>
    <col min="15113" max="15114" width="10" style="382" customWidth="1"/>
    <col min="15115" max="15115" width="10.3984375" style="382" customWidth="1"/>
    <col min="15116" max="15116" width="9.3984375" style="382" customWidth="1"/>
    <col min="15117" max="15117" width="16.265625" style="382" customWidth="1"/>
    <col min="15118" max="15119" width="14.73046875" style="382" customWidth="1"/>
    <col min="15120" max="15129" width="0" style="382" hidden="1" customWidth="1"/>
    <col min="15130" max="15130" width="15.3984375" style="382" customWidth="1"/>
    <col min="15131" max="15131" width="14.1328125" style="382" customWidth="1"/>
    <col min="15132" max="15133" width="14" style="382" customWidth="1"/>
    <col min="15134" max="15134" width="15.1328125" style="382" customWidth="1"/>
    <col min="15135" max="15137" width="12.3984375" style="382" customWidth="1"/>
    <col min="15138" max="15138" width="14" style="382" customWidth="1"/>
    <col min="15139" max="15141" width="11.86328125" style="382" customWidth="1"/>
    <col min="15142" max="15142" width="22.3984375" style="382" customWidth="1"/>
    <col min="15143" max="15143" width="15.265625" style="382" customWidth="1"/>
    <col min="15144" max="15144" width="13.1328125" style="382" customWidth="1"/>
    <col min="15145" max="15146" width="8.86328125" style="382" customWidth="1"/>
    <col min="15147" max="15147" width="12.86328125" style="382" customWidth="1"/>
    <col min="15148" max="15151" width="8.86328125" style="382" customWidth="1"/>
    <col min="15152" max="15152" width="15.3984375" style="382" customWidth="1"/>
    <col min="15153" max="15153" width="14.265625" style="382" customWidth="1"/>
    <col min="15154" max="15366" width="9.1328125" style="382"/>
    <col min="15367" max="15367" width="8.265625" style="382" customWidth="1"/>
    <col min="15368" max="15368" width="42" style="382" customWidth="1"/>
    <col min="15369" max="15370" width="10" style="382" customWidth="1"/>
    <col min="15371" max="15371" width="10.3984375" style="382" customWidth="1"/>
    <col min="15372" max="15372" width="9.3984375" style="382" customWidth="1"/>
    <col min="15373" max="15373" width="16.265625" style="382" customWidth="1"/>
    <col min="15374" max="15375" width="14.73046875" style="382" customWidth="1"/>
    <col min="15376" max="15385" width="0" style="382" hidden="1" customWidth="1"/>
    <col min="15386" max="15386" width="15.3984375" style="382" customWidth="1"/>
    <col min="15387" max="15387" width="14.1328125" style="382" customWidth="1"/>
    <col min="15388" max="15389" width="14" style="382" customWidth="1"/>
    <col min="15390" max="15390" width="15.1328125" style="382" customWidth="1"/>
    <col min="15391" max="15393" width="12.3984375" style="382" customWidth="1"/>
    <col min="15394" max="15394" width="14" style="382" customWidth="1"/>
    <col min="15395" max="15397" width="11.86328125" style="382" customWidth="1"/>
    <col min="15398" max="15398" width="22.3984375" style="382" customWidth="1"/>
    <col min="15399" max="15399" width="15.265625" style="382" customWidth="1"/>
    <col min="15400" max="15400" width="13.1328125" style="382" customWidth="1"/>
    <col min="15401" max="15402" width="8.86328125" style="382" customWidth="1"/>
    <col min="15403" max="15403" width="12.86328125" style="382" customWidth="1"/>
    <col min="15404" max="15407" width="8.86328125" style="382" customWidth="1"/>
    <col min="15408" max="15408" width="15.3984375" style="382" customWidth="1"/>
    <col min="15409" max="15409" width="14.265625" style="382" customWidth="1"/>
    <col min="15410" max="15622" width="9.1328125" style="382"/>
    <col min="15623" max="15623" width="8.265625" style="382" customWidth="1"/>
    <col min="15624" max="15624" width="42" style="382" customWidth="1"/>
    <col min="15625" max="15626" width="10" style="382" customWidth="1"/>
    <col min="15627" max="15627" width="10.3984375" style="382" customWidth="1"/>
    <col min="15628" max="15628" width="9.3984375" style="382" customWidth="1"/>
    <col min="15629" max="15629" width="16.265625" style="382" customWidth="1"/>
    <col min="15630" max="15631" width="14.73046875" style="382" customWidth="1"/>
    <col min="15632" max="15641" width="0" style="382" hidden="1" customWidth="1"/>
    <col min="15642" max="15642" width="15.3984375" style="382" customWidth="1"/>
    <col min="15643" max="15643" width="14.1328125" style="382" customWidth="1"/>
    <col min="15644" max="15645" width="14" style="382" customWidth="1"/>
    <col min="15646" max="15646" width="15.1328125" style="382" customWidth="1"/>
    <col min="15647" max="15649" width="12.3984375" style="382" customWidth="1"/>
    <col min="15650" max="15650" width="14" style="382" customWidth="1"/>
    <col min="15651" max="15653" width="11.86328125" style="382" customWidth="1"/>
    <col min="15654" max="15654" width="22.3984375" style="382" customWidth="1"/>
    <col min="15655" max="15655" width="15.265625" style="382" customWidth="1"/>
    <col min="15656" max="15656" width="13.1328125" style="382" customWidth="1"/>
    <col min="15657" max="15658" width="8.86328125" style="382" customWidth="1"/>
    <col min="15659" max="15659" width="12.86328125" style="382" customWidth="1"/>
    <col min="15660" max="15663" width="8.86328125" style="382" customWidth="1"/>
    <col min="15664" max="15664" width="15.3984375" style="382" customWidth="1"/>
    <col min="15665" max="15665" width="14.265625" style="382" customWidth="1"/>
    <col min="15666" max="15878" width="9.1328125" style="382"/>
    <col min="15879" max="15879" width="8.265625" style="382" customWidth="1"/>
    <col min="15880" max="15880" width="42" style="382" customWidth="1"/>
    <col min="15881" max="15882" width="10" style="382" customWidth="1"/>
    <col min="15883" max="15883" width="10.3984375" style="382" customWidth="1"/>
    <col min="15884" max="15884" width="9.3984375" style="382" customWidth="1"/>
    <col min="15885" max="15885" width="16.265625" style="382" customWidth="1"/>
    <col min="15886" max="15887" width="14.73046875" style="382" customWidth="1"/>
    <col min="15888" max="15897" width="0" style="382" hidden="1" customWidth="1"/>
    <col min="15898" max="15898" width="15.3984375" style="382" customWidth="1"/>
    <col min="15899" max="15899" width="14.1328125" style="382" customWidth="1"/>
    <col min="15900" max="15901" width="14" style="382" customWidth="1"/>
    <col min="15902" max="15902" width="15.1328125" style="382" customWidth="1"/>
    <col min="15903" max="15905" width="12.3984375" style="382" customWidth="1"/>
    <col min="15906" max="15906" width="14" style="382" customWidth="1"/>
    <col min="15907" max="15909" width="11.86328125" style="382" customWidth="1"/>
    <col min="15910" max="15910" width="22.3984375" style="382" customWidth="1"/>
    <col min="15911" max="15911" width="15.265625" style="382" customWidth="1"/>
    <col min="15912" max="15912" width="13.1328125" style="382" customWidth="1"/>
    <col min="15913" max="15914" width="8.86328125" style="382" customWidth="1"/>
    <col min="15915" max="15915" width="12.86328125" style="382" customWidth="1"/>
    <col min="15916" max="15919" width="8.86328125" style="382" customWidth="1"/>
    <col min="15920" max="15920" width="15.3984375" style="382" customWidth="1"/>
    <col min="15921" max="15921" width="14.265625" style="382" customWidth="1"/>
    <col min="15922" max="16134" width="9.1328125" style="382"/>
    <col min="16135" max="16135" width="8.265625" style="382" customWidth="1"/>
    <col min="16136" max="16136" width="42" style="382" customWidth="1"/>
    <col min="16137" max="16138" width="10" style="382" customWidth="1"/>
    <col min="16139" max="16139" width="10.3984375" style="382" customWidth="1"/>
    <col min="16140" max="16140" width="9.3984375" style="382" customWidth="1"/>
    <col min="16141" max="16141" width="16.265625" style="382" customWidth="1"/>
    <col min="16142" max="16143" width="14.73046875" style="382" customWidth="1"/>
    <col min="16144" max="16153" width="0" style="382" hidden="1" customWidth="1"/>
    <col min="16154" max="16154" width="15.3984375" style="382" customWidth="1"/>
    <col min="16155" max="16155" width="14.1328125" style="382" customWidth="1"/>
    <col min="16156" max="16157" width="14" style="382" customWidth="1"/>
    <col min="16158" max="16158" width="15.1328125" style="382" customWidth="1"/>
    <col min="16159" max="16161" width="12.3984375" style="382" customWidth="1"/>
    <col min="16162" max="16162" width="14" style="382" customWidth="1"/>
    <col min="16163" max="16165" width="11.86328125" style="382" customWidth="1"/>
    <col min="16166" max="16166" width="22.3984375" style="382" customWidth="1"/>
    <col min="16167" max="16167" width="15.265625" style="382" customWidth="1"/>
    <col min="16168" max="16168" width="13.1328125" style="382" customWidth="1"/>
    <col min="16169" max="16170" width="8.86328125" style="382" customWidth="1"/>
    <col min="16171" max="16171" width="12.86328125" style="382" customWidth="1"/>
    <col min="16172" max="16175" width="8.86328125" style="382" customWidth="1"/>
    <col min="16176" max="16176" width="15.3984375" style="382" customWidth="1"/>
    <col min="16177" max="16177" width="14.265625" style="382" customWidth="1"/>
    <col min="16178" max="16384" width="9.1328125" style="382"/>
  </cols>
  <sheetData>
    <row r="1" spans="1:49" s="380" customFormat="1" ht="27.75" customHeight="1">
      <c r="A1" s="690" t="s">
        <v>1255</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379"/>
    </row>
    <row r="2" spans="1:49" ht="31.5" customHeight="1">
      <c r="A2" s="691" t="s">
        <v>1252</v>
      </c>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c r="AF2" s="691"/>
      <c r="AG2" s="691"/>
      <c r="AH2" s="691"/>
      <c r="AI2" s="691"/>
      <c r="AJ2" s="691"/>
      <c r="AK2" s="691"/>
      <c r="AL2" s="691"/>
      <c r="AM2" s="381"/>
    </row>
    <row r="3" spans="1:49" s="383" customFormat="1" ht="27.75" customHeight="1">
      <c r="A3" s="692" t="str">
        <f>'B3.DC 21-25 CTMTQG'!A5:J5</f>
        <v>(Kèm theo Nghị quyết số                /NQ-HĐND ngày  28/4/2025 của Hội đồng nhân dân tỉnh)</v>
      </c>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A3" s="692"/>
      <c r="AB3" s="692"/>
      <c r="AC3" s="692"/>
      <c r="AD3" s="692"/>
      <c r="AE3" s="692"/>
      <c r="AF3" s="692"/>
      <c r="AG3" s="692"/>
      <c r="AH3" s="692"/>
      <c r="AI3" s="692"/>
      <c r="AJ3" s="692"/>
      <c r="AK3" s="692"/>
      <c r="AL3" s="692"/>
    </row>
    <row r="4" spans="1:49" ht="27.75" customHeight="1">
      <c r="A4" s="693" t="s">
        <v>1140</v>
      </c>
      <c r="B4" s="693"/>
      <c r="C4" s="693"/>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384"/>
    </row>
    <row r="5" spans="1:49" s="385" customFormat="1" ht="27.75" customHeight="1">
      <c r="A5" s="694" t="s">
        <v>42</v>
      </c>
      <c r="B5" s="695" t="s">
        <v>1</v>
      </c>
      <c r="C5" s="695" t="s">
        <v>82</v>
      </c>
      <c r="D5" s="695" t="s">
        <v>2</v>
      </c>
      <c r="E5" s="695" t="s">
        <v>4</v>
      </c>
      <c r="F5" s="695" t="s">
        <v>1141</v>
      </c>
      <c r="G5" s="695" t="s">
        <v>5</v>
      </c>
      <c r="H5" s="695"/>
      <c r="I5" s="695"/>
      <c r="J5" s="702" t="s">
        <v>11</v>
      </c>
      <c r="K5" s="708"/>
      <c r="L5" s="708"/>
      <c r="M5" s="708"/>
      <c r="N5" s="708"/>
      <c r="O5" s="708"/>
      <c r="P5" s="708"/>
      <c r="Q5" s="703"/>
      <c r="R5" s="696" t="s">
        <v>1142</v>
      </c>
      <c r="S5" s="698"/>
      <c r="T5" s="697" t="s">
        <v>1143</v>
      </c>
      <c r="U5" s="697"/>
      <c r="V5" s="697"/>
      <c r="W5" s="697"/>
      <c r="X5" s="697"/>
      <c r="Y5" s="697"/>
      <c r="Z5" s="697"/>
      <c r="AA5" s="698"/>
      <c r="AB5" s="696" t="s">
        <v>1144</v>
      </c>
      <c r="AC5" s="697"/>
      <c r="AD5" s="697"/>
      <c r="AE5" s="698"/>
      <c r="AF5" s="696" t="s">
        <v>1244</v>
      </c>
      <c r="AG5" s="698"/>
      <c r="AH5" s="696" t="s">
        <v>1245</v>
      </c>
      <c r="AI5" s="697"/>
      <c r="AJ5" s="697"/>
      <c r="AK5" s="698"/>
      <c r="AL5" s="695" t="s">
        <v>13</v>
      </c>
    </row>
    <row r="6" spans="1:49" s="385" customFormat="1" ht="16.5" customHeight="1">
      <c r="A6" s="694"/>
      <c r="B6" s="695"/>
      <c r="C6" s="695"/>
      <c r="D6" s="695"/>
      <c r="E6" s="695"/>
      <c r="F6" s="695"/>
      <c r="G6" s="695" t="s">
        <v>1145</v>
      </c>
      <c r="H6" s="695" t="s">
        <v>17</v>
      </c>
      <c r="I6" s="695"/>
      <c r="J6" s="702" t="s">
        <v>1146</v>
      </c>
      <c r="K6" s="703"/>
      <c r="L6" s="702" t="s">
        <v>1147</v>
      </c>
      <c r="M6" s="703"/>
      <c r="N6" s="702" t="s">
        <v>1148</v>
      </c>
      <c r="O6" s="703"/>
      <c r="P6" s="702" t="s">
        <v>1149</v>
      </c>
      <c r="Q6" s="703"/>
      <c r="R6" s="709"/>
      <c r="S6" s="710"/>
      <c r="T6" s="700"/>
      <c r="U6" s="700"/>
      <c r="V6" s="700"/>
      <c r="W6" s="700"/>
      <c r="X6" s="700"/>
      <c r="Y6" s="700"/>
      <c r="Z6" s="700"/>
      <c r="AA6" s="701"/>
      <c r="AB6" s="699"/>
      <c r="AC6" s="700"/>
      <c r="AD6" s="700"/>
      <c r="AE6" s="701"/>
      <c r="AF6" s="699"/>
      <c r="AG6" s="701"/>
      <c r="AH6" s="699"/>
      <c r="AI6" s="700"/>
      <c r="AJ6" s="700"/>
      <c r="AK6" s="701"/>
      <c r="AL6" s="695"/>
      <c r="AN6" s="385">
        <f>170000-AB12</f>
        <v>0</v>
      </c>
    </row>
    <row r="7" spans="1:49" s="385" customFormat="1" ht="44.25" customHeight="1">
      <c r="A7" s="694"/>
      <c r="B7" s="695"/>
      <c r="C7" s="695"/>
      <c r="D7" s="695"/>
      <c r="E7" s="695"/>
      <c r="F7" s="695"/>
      <c r="G7" s="695"/>
      <c r="H7" s="695" t="s">
        <v>18</v>
      </c>
      <c r="I7" s="704" t="s">
        <v>1150</v>
      </c>
      <c r="J7" s="695" t="s">
        <v>18</v>
      </c>
      <c r="K7" s="704" t="s">
        <v>1150</v>
      </c>
      <c r="L7" s="695" t="s">
        <v>18</v>
      </c>
      <c r="M7" s="704" t="s">
        <v>1150</v>
      </c>
      <c r="N7" s="695" t="s">
        <v>18</v>
      </c>
      <c r="O7" s="704" t="s">
        <v>1150</v>
      </c>
      <c r="P7" s="695" t="s">
        <v>18</v>
      </c>
      <c r="Q7" s="704" t="s">
        <v>1150</v>
      </c>
      <c r="R7" s="695" t="s">
        <v>18</v>
      </c>
      <c r="S7" s="704" t="s">
        <v>1150</v>
      </c>
      <c r="T7" s="702" t="s">
        <v>1151</v>
      </c>
      <c r="U7" s="708"/>
      <c r="V7" s="708"/>
      <c r="W7" s="703"/>
      <c r="X7" s="695" t="s">
        <v>1152</v>
      </c>
      <c r="Y7" s="695"/>
      <c r="Z7" s="695"/>
      <c r="AA7" s="695"/>
      <c r="AB7" s="704" t="s">
        <v>22</v>
      </c>
      <c r="AC7" s="715" t="s">
        <v>24</v>
      </c>
      <c r="AD7" s="716"/>
      <c r="AE7" s="717"/>
      <c r="AF7" s="712" t="s">
        <v>1060</v>
      </c>
      <c r="AG7" s="712" t="s">
        <v>1061</v>
      </c>
      <c r="AH7" s="704" t="s">
        <v>22</v>
      </c>
      <c r="AI7" s="715" t="s">
        <v>24</v>
      </c>
      <c r="AJ7" s="716"/>
      <c r="AK7" s="717"/>
      <c r="AL7" s="695"/>
    </row>
    <row r="8" spans="1:49" s="385" customFormat="1" ht="27.75" customHeight="1">
      <c r="A8" s="694"/>
      <c r="B8" s="695"/>
      <c r="C8" s="695"/>
      <c r="D8" s="695"/>
      <c r="E8" s="695"/>
      <c r="F8" s="695"/>
      <c r="G8" s="695"/>
      <c r="H8" s="695"/>
      <c r="I8" s="705"/>
      <c r="J8" s="695"/>
      <c r="K8" s="705"/>
      <c r="L8" s="695"/>
      <c r="M8" s="705"/>
      <c r="N8" s="695"/>
      <c r="O8" s="705"/>
      <c r="P8" s="695"/>
      <c r="Q8" s="705"/>
      <c r="R8" s="695"/>
      <c r="S8" s="705"/>
      <c r="T8" s="704" t="s">
        <v>22</v>
      </c>
      <c r="U8" s="721" t="s">
        <v>24</v>
      </c>
      <c r="V8" s="721"/>
      <c r="W8" s="721"/>
      <c r="X8" s="704" t="s">
        <v>22</v>
      </c>
      <c r="Y8" s="721" t="s">
        <v>24</v>
      </c>
      <c r="Z8" s="721"/>
      <c r="AA8" s="721"/>
      <c r="AB8" s="705"/>
      <c r="AC8" s="718"/>
      <c r="AD8" s="719"/>
      <c r="AE8" s="720"/>
      <c r="AF8" s="713"/>
      <c r="AG8" s="713"/>
      <c r="AH8" s="705"/>
      <c r="AI8" s="718"/>
      <c r="AJ8" s="719"/>
      <c r="AK8" s="720"/>
      <c r="AL8" s="695"/>
    </row>
    <row r="9" spans="1:49" s="385" customFormat="1" ht="100.5" customHeight="1">
      <c r="A9" s="694"/>
      <c r="B9" s="695"/>
      <c r="C9" s="695"/>
      <c r="D9" s="695"/>
      <c r="E9" s="695"/>
      <c r="F9" s="695"/>
      <c r="G9" s="695"/>
      <c r="H9" s="707"/>
      <c r="I9" s="706"/>
      <c r="J9" s="707"/>
      <c r="K9" s="706"/>
      <c r="L9" s="707"/>
      <c r="M9" s="706"/>
      <c r="N9" s="707"/>
      <c r="O9" s="706"/>
      <c r="P9" s="707"/>
      <c r="Q9" s="706"/>
      <c r="R9" s="707"/>
      <c r="S9" s="706"/>
      <c r="T9" s="706"/>
      <c r="U9" s="386" t="s">
        <v>1153</v>
      </c>
      <c r="V9" s="386" t="s">
        <v>26</v>
      </c>
      <c r="W9" s="386" t="s">
        <v>1154</v>
      </c>
      <c r="X9" s="706"/>
      <c r="Y9" s="386" t="s">
        <v>1153</v>
      </c>
      <c r="Z9" s="386" t="s">
        <v>26</v>
      </c>
      <c r="AA9" s="386" t="s">
        <v>1154</v>
      </c>
      <c r="AB9" s="706"/>
      <c r="AC9" s="386" t="s">
        <v>1153</v>
      </c>
      <c r="AD9" s="386" t="s">
        <v>26</v>
      </c>
      <c r="AE9" s="386" t="s">
        <v>1154</v>
      </c>
      <c r="AF9" s="714"/>
      <c r="AG9" s="714"/>
      <c r="AH9" s="706"/>
      <c r="AI9" s="386" t="s">
        <v>1153</v>
      </c>
      <c r="AJ9" s="386" t="s">
        <v>26</v>
      </c>
      <c r="AK9" s="386" t="s">
        <v>1154</v>
      </c>
      <c r="AL9" s="695"/>
    </row>
    <row r="10" spans="1:49" s="390" customFormat="1" ht="27.75" customHeight="1">
      <c r="A10" s="387">
        <v>1</v>
      </c>
      <c r="B10" s="388">
        <v>2</v>
      </c>
      <c r="C10" s="387">
        <v>3</v>
      </c>
      <c r="D10" s="388">
        <v>4</v>
      </c>
      <c r="E10" s="387">
        <v>5</v>
      </c>
      <c r="F10" s="388">
        <v>6</v>
      </c>
      <c r="G10" s="387">
        <v>3</v>
      </c>
      <c r="H10" s="388">
        <v>4</v>
      </c>
      <c r="I10" s="387">
        <v>5</v>
      </c>
      <c r="J10" s="388">
        <v>10</v>
      </c>
      <c r="K10" s="387">
        <v>11</v>
      </c>
      <c r="L10" s="387">
        <v>12</v>
      </c>
      <c r="M10" s="388">
        <v>13</v>
      </c>
      <c r="N10" s="387">
        <v>14</v>
      </c>
      <c r="O10" s="387">
        <v>15</v>
      </c>
      <c r="P10" s="388">
        <v>16</v>
      </c>
      <c r="Q10" s="387">
        <v>17</v>
      </c>
      <c r="R10" s="387">
        <v>18</v>
      </c>
      <c r="S10" s="388">
        <v>19</v>
      </c>
      <c r="T10" s="387">
        <v>6</v>
      </c>
      <c r="U10" s="387">
        <v>7</v>
      </c>
      <c r="V10" s="387">
        <v>8</v>
      </c>
      <c r="W10" s="387">
        <v>9</v>
      </c>
      <c r="X10" s="387">
        <v>10</v>
      </c>
      <c r="Y10" s="387">
        <v>11</v>
      </c>
      <c r="Z10" s="387">
        <v>12</v>
      </c>
      <c r="AA10" s="387">
        <v>13</v>
      </c>
      <c r="AB10" s="387">
        <v>14</v>
      </c>
      <c r="AC10" s="387">
        <v>15</v>
      </c>
      <c r="AD10" s="387">
        <v>16</v>
      </c>
      <c r="AE10" s="387">
        <v>17</v>
      </c>
      <c r="AF10" s="387">
        <v>18</v>
      </c>
      <c r="AG10" s="387">
        <v>19</v>
      </c>
      <c r="AH10" s="387">
        <v>20</v>
      </c>
      <c r="AI10" s="387">
        <v>21</v>
      </c>
      <c r="AJ10" s="387">
        <v>22</v>
      </c>
      <c r="AK10" s="387">
        <v>23</v>
      </c>
      <c r="AL10" s="387">
        <v>24</v>
      </c>
      <c r="AM10" s="389"/>
      <c r="AO10" s="391" t="s">
        <v>1155</v>
      </c>
      <c r="AP10" s="391" t="s">
        <v>1156</v>
      </c>
      <c r="AQ10" s="391" t="s">
        <v>1157</v>
      </c>
      <c r="AR10" s="391" t="s">
        <v>1158</v>
      </c>
      <c r="AS10" s="391" t="s">
        <v>1159</v>
      </c>
      <c r="AT10" s="391" t="s">
        <v>1160</v>
      </c>
      <c r="AU10" s="391" t="s">
        <v>1161</v>
      </c>
    </row>
    <row r="11" spans="1:49" s="396" customFormat="1" ht="17.25">
      <c r="A11" s="269"/>
      <c r="B11" s="392" t="s">
        <v>68</v>
      </c>
      <c r="C11" s="393"/>
      <c r="D11" s="261"/>
      <c r="E11" s="261"/>
      <c r="F11" s="393"/>
      <c r="G11" s="261"/>
      <c r="H11" s="394">
        <f t="shared" ref="H11:AK11" si="0">H12+H34+H204+H205</f>
        <v>10766465.4</v>
      </c>
      <c r="I11" s="394">
        <f t="shared" si="0"/>
        <v>5191235.9000000004</v>
      </c>
      <c r="J11" s="394">
        <f t="shared" si="0"/>
        <v>739887.17271508649</v>
      </c>
      <c r="K11" s="394">
        <f t="shared" si="0"/>
        <v>736427.17271508649</v>
      </c>
      <c r="L11" s="394">
        <f t="shared" si="0"/>
        <v>243794.61200500006</v>
      </c>
      <c r="M11" s="394">
        <f t="shared" si="0"/>
        <v>243794.61200500006</v>
      </c>
      <c r="N11" s="394">
        <f t="shared" si="0"/>
        <v>307714.42484399996</v>
      </c>
      <c r="O11" s="394">
        <f t="shared" si="0"/>
        <v>307714.42484399996</v>
      </c>
      <c r="P11" s="394">
        <f t="shared" si="0"/>
        <v>739887.17271508649</v>
      </c>
      <c r="Q11" s="394">
        <f t="shared" si="0"/>
        <v>736427.17271508649</v>
      </c>
      <c r="R11" s="394">
        <f t="shared" si="0"/>
        <v>2913008.5027150866</v>
      </c>
      <c r="S11" s="394">
        <f t="shared" si="0"/>
        <v>1877448.5027150863</v>
      </c>
      <c r="T11" s="394">
        <f t="shared" si="0"/>
        <v>2756190.5027150866</v>
      </c>
      <c r="U11" s="394">
        <f t="shared" si="0"/>
        <v>0</v>
      </c>
      <c r="V11" s="394">
        <f t="shared" si="0"/>
        <v>0</v>
      </c>
      <c r="W11" s="394">
        <f t="shared" si="0"/>
        <v>0</v>
      </c>
      <c r="X11" s="394">
        <f t="shared" si="0"/>
        <v>1768190.5027150863</v>
      </c>
      <c r="Y11" s="394">
        <f t="shared" si="0"/>
        <v>0</v>
      </c>
      <c r="Z11" s="394">
        <f t="shared" si="0"/>
        <v>0</v>
      </c>
      <c r="AA11" s="394">
        <f t="shared" si="0"/>
        <v>0</v>
      </c>
      <c r="AB11" s="394">
        <f t="shared" si="0"/>
        <v>988000</v>
      </c>
      <c r="AC11" s="394">
        <f t="shared" si="0"/>
        <v>58000</v>
      </c>
      <c r="AD11" s="394">
        <f t="shared" si="0"/>
        <v>0</v>
      </c>
      <c r="AE11" s="394">
        <f t="shared" si="0"/>
        <v>8805</v>
      </c>
      <c r="AF11" s="394">
        <f t="shared" si="0"/>
        <v>7963</v>
      </c>
      <c r="AG11" s="394">
        <f t="shared" si="0"/>
        <v>7963</v>
      </c>
      <c r="AH11" s="394">
        <f t="shared" si="0"/>
        <v>988000</v>
      </c>
      <c r="AI11" s="394">
        <f t="shared" si="0"/>
        <v>58000</v>
      </c>
      <c r="AJ11" s="394">
        <f t="shared" si="0"/>
        <v>0</v>
      </c>
      <c r="AK11" s="394">
        <f t="shared" si="0"/>
        <v>8605</v>
      </c>
      <c r="AL11" s="393"/>
      <c r="AM11" s="395"/>
      <c r="AO11" s="397"/>
      <c r="AP11" s="397"/>
      <c r="AQ11" s="397"/>
      <c r="AR11" s="397"/>
      <c r="AS11" s="397"/>
      <c r="AT11" s="397"/>
      <c r="AU11" s="397"/>
      <c r="AV11" s="397" t="s">
        <v>1162</v>
      </c>
      <c r="AW11" s="397"/>
    </row>
    <row r="12" spans="1:49" s="396" customFormat="1" ht="49.5" customHeight="1">
      <c r="A12" s="269" t="s">
        <v>37</v>
      </c>
      <c r="B12" s="270" t="s">
        <v>1067</v>
      </c>
      <c r="C12" s="393"/>
      <c r="D12" s="261"/>
      <c r="E12" s="261"/>
      <c r="F12" s="393"/>
      <c r="G12" s="261"/>
      <c r="H12" s="394">
        <f t="shared" ref="H12:AK12" si="1">SUM(H13:H33)</f>
        <v>2767035</v>
      </c>
      <c r="I12" s="394">
        <f t="shared" si="1"/>
        <v>2227918</v>
      </c>
      <c r="J12" s="394">
        <f t="shared" si="1"/>
        <v>25489</v>
      </c>
      <c r="K12" s="394">
        <f t="shared" si="1"/>
        <v>22029</v>
      </c>
      <c r="L12" s="394">
        <f t="shared" si="1"/>
        <v>0</v>
      </c>
      <c r="M12" s="394">
        <f t="shared" si="1"/>
        <v>0</v>
      </c>
      <c r="N12" s="394">
        <f t="shared" si="1"/>
        <v>0</v>
      </c>
      <c r="O12" s="394">
        <f t="shared" si="1"/>
        <v>0</v>
      </c>
      <c r="P12" s="394">
        <f t="shared" si="1"/>
        <v>25489</v>
      </c>
      <c r="Q12" s="394">
        <f t="shared" si="1"/>
        <v>22029</v>
      </c>
      <c r="R12" s="394">
        <f t="shared" si="1"/>
        <v>576530</v>
      </c>
      <c r="S12" s="394">
        <f t="shared" si="1"/>
        <v>42029</v>
      </c>
      <c r="T12" s="394">
        <f t="shared" si="1"/>
        <v>212029</v>
      </c>
      <c r="U12" s="394">
        <f t="shared" si="1"/>
        <v>0</v>
      </c>
      <c r="V12" s="394">
        <f t="shared" si="1"/>
        <v>0</v>
      </c>
      <c r="W12" s="394">
        <f t="shared" si="1"/>
        <v>0</v>
      </c>
      <c r="X12" s="394">
        <f t="shared" si="1"/>
        <v>42029</v>
      </c>
      <c r="Y12" s="394">
        <f t="shared" si="1"/>
        <v>0</v>
      </c>
      <c r="Z12" s="394">
        <f t="shared" si="1"/>
        <v>0</v>
      </c>
      <c r="AA12" s="394">
        <f t="shared" si="1"/>
        <v>0</v>
      </c>
      <c r="AB12" s="394">
        <f t="shared" si="1"/>
        <v>170000</v>
      </c>
      <c r="AC12" s="394">
        <f t="shared" si="1"/>
        <v>58000</v>
      </c>
      <c r="AD12" s="394">
        <f t="shared" si="1"/>
        <v>0</v>
      </c>
      <c r="AE12" s="394">
        <f>SUM(AE13:AE33)</f>
        <v>500</v>
      </c>
      <c r="AF12" s="394">
        <f t="shared" si="1"/>
        <v>500</v>
      </c>
      <c r="AG12" s="394">
        <f t="shared" si="1"/>
        <v>500</v>
      </c>
      <c r="AH12" s="394">
        <f t="shared" si="1"/>
        <v>170000</v>
      </c>
      <c r="AI12" s="394">
        <f t="shared" si="1"/>
        <v>58000</v>
      </c>
      <c r="AJ12" s="394">
        <f t="shared" si="1"/>
        <v>0</v>
      </c>
      <c r="AK12" s="394">
        <f t="shared" si="1"/>
        <v>500</v>
      </c>
      <c r="AL12" s="393"/>
      <c r="AM12" s="395"/>
      <c r="AO12" s="397"/>
      <c r="AP12" s="397"/>
      <c r="AQ12" s="397"/>
      <c r="AR12" s="397"/>
      <c r="AS12" s="397"/>
      <c r="AT12" s="397"/>
      <c r="AU12" s="397"/>
      <c r="AV12" s="397"/>
      <c r="AW12" s="397"/>
    </row>
    <row r="13" spans="1:49" s="390" customFormat="1" ht="114.75" customHeight="1">
      <c r="A13" s="398">
        <v>1</v>
      </c>
      <c r="B13" s="399" t="s">
        <v>386</v>
      </c>
      <c r="C13" s="388" t="s">
        <v>38</v>
      </c>
      <c r="D13" s="260" t="s">
        <v>229</v>
      </c>
      <c r="E13" s="260"/>
      <c r="F13" s="388" t="s">
        <v>1163</v>
      </c>
      <c r="G13" s="260" t="s">
        <v>635</v>
      </c>
      <c r="H13" s="339">
        <v>550000</v>
      </c>
      <c r="I13" s="339">
        <v>90883</v>
      </c>
      <c r="J13" s="339"/>
      <c r="K13" s="339"/>
      <c r="L13" s="339"/>
      <c r="M13" s="339"/>
      <c r="N13" s="339"/>
      <c r="O13" s="339"/>
      <c r="P13" s="339"/>
      <c r="Q13" s="339"/>
      <c r="R13" s="339">
        <v>539117</v>
      </c>
      <c r="S13" s="339">
        <v>20000</v>
      </c>
      <c r="T13" s="339">
        <v>30883</v>
      </c>
      <c r="U13" s="339"/>
      <c r="V13" s="339"/>
      <c r="W13" s="339"/>
      <c r="X13" s="339">
        <v>20000</v>
      </c>
      <c r="Y13" s="339"/>
      <c r="Z13" s="339"/>
      <c r="AA13" s="339"/>
      <c r="AB13" s="339">
        <v>10883</v>
      </c>
      <c r="AC13" s="339"/>
      <c r="AD13" s="339"/>
      <c r="AE13" s="339"/>
      <c r="AF13" s="339">
        <f>IF(AH13&gt;AB13,AH13-AB13,0)</f>
        <v>0</v>
      </c>
      <c r="AG13" s="339">
        <f>IF(AB13&gt;AH13,AB13-AH13,0)</f>
        <v>0</v>
      </c>
      <c r="AH13" s="339">
        <v>10883</v>
      </c>
      <c r="AI13" s="339"/>
      <c r="AJ13" s="339"/>
      <c r="AK13" s="339"/>
      <c r="AL13" s="388"/>
      <c r="AM13" s="400">
        <f>T13-X13-AB13</f>
        <v>0</v>
      </c>
      <c r="AO13" s="391"/>
      <c r="AP13" s="391"/>
      <c r="AQ13" s="391"/>
      <c r="AR13" s="391"/>
      <c r="AS13" s="391"/>
      <c r="AT13" s="391"/>
      <c r="AU13" s="391">
        <v>1</v>
      </c>
      <c r="AV13" s="391">
        <v>1</v>
      </c>
      <c r="AW13" s="391" t="s">
        <v>1164</v>
      </c>
    </row>
    <row r="14" spans="1:49" s="390" customFormat="1" ht="78" customHeight="1">
      <c r="A14" s="398">
        <v>2</v>
      </c>
      <c r="B14" s="399" t="s">
        <v>389</v>
      </c>
      <c r="C14" s="388" t="s">
        <v>38</v>
      </c>
      <c r="D14" s="260" t="s">
        <v>229</v>
      </c>
      <c r="E14" s="260"/>
      <c r="F14" s="388" t="s">
        <v>975</v>
      </c>
      <c r="G14" s="260" t="s">
        <v>638</v>
      </c>
      <c r="H14" s="339">
        <v>200000</v>
      </c>
      <c r="I14" s="339">
        <v>200000</v>
      </c>
      <c r="J14" s="339">
        <v>6000</v>
      </c>
      <c r="K14" s="339">
        <v>6000</v>
      </c>
      <c r="L14" s="339"/>
      <c r="M14" s="339"/>
      <c r="N14" s="339"/>
      <c r="O14" s="339"/>
      <c r="P14" s="339">
        <v>6000</v>
      </c>
      <c r="Q14" s="339">
        <v>6000</v>
      </c>
      <c r="R14" s="339">
        <v>6000</v>
      </c>
      <c r="S14" s="339">
        <v>6000</v>
      </c>
      <c r="T14" s="339">
        <v>11000</v>
      </c>
      <c r="U14" s="339"/>
      <c r="V14" s="339"/>
      <c r="W14" s="339"/>
      <c r="X14" s="339">
        <v>6000</v>
      </c>
      <c r="Y14" s="339"/>
      <c r="Z14" s="339"/>
      <c r="AA14" s="339"/>
      <c r="AB14" s="339">
        <v>5000</v>
      </c>
      <c r="AC14" s="339"/>
      <c r="AD14" s="339"/>
      <c r="AE14" s="339"/>
      <c r="AF14" s="339">
        <f t="shared" ref="AF14:AF73" si="2">IF(AH14&gt;AB14,AH14-AB14,0)</f>
        <v>0</v>
      </c>
      <c r="AG14" s="339">
        <f t="shared" ref="AG14:AG73" si="3">IF(AB14&gt;AH14,AB14-AH14,0)</f>
        <v>0</v>
      </c>
      <c r="AH14" s="339">
        <v>5000</v>
      </c>
      <c r="AI14" s="339"/>
      <c r="AJ14" s="339"/>
      <c r="AK14" s="339"/>
      <c r="AL14" s="388"/>
      <c r="AM14" s="400">
        <f t="shared" ref="AM14:AM89" si="4">T14-X14-AB14</f>
        <v>0</v>
      </c>
      <c r="AO14" s="391"/>
      <c r="AP14" s="391"/>
      <c r="AQ14" s="391"/>
      <c r="AR14" s="391"/>
      <c r="AS14" s="391"/>
      <c r="AT14" s="391"/>
      <c r="AU14" s="391">
        <v>1</v>
      </c>
      <c r="AV14" s="391"/>
      <c r="AW14" s="391"/>
    </row>
    <row r="15" spans="1:49" s="390" customFormat="1" ht="71.25" customHeight="1">
      <c r="A15" s="398">
        <v>3</v>
      </c>
      <c r="B15" s="399" t="s">
        <v>148</v>
      </c>
      <c r="C15" s="388" t="s">
        <v>38</v>
      </c>
      <c r="D15" s="260" t="s">
        <v>229</v>
      </c>
      <c r="E15" s="260"/>
      <c r="F15" s="388" t="s">
        <v>1165</v>
      </c>
      <c r="G15" s="260" t="s">
        <v>302</v>
      </c>
      <c r="H15" s="339">
        <v>195000</v>
      </c>
      <c r="I15" s="339">
        <v>145000</v>
      </c>
      <c r="J15" s="339">
        <f>6029+3460</f>
        <v>9489</v>
      </c>
      <c r="K15" s="339">
        <v>6029</v>
      </c>
      <c r="L15" s="339"/>
      <c r="M15" s="339"/>
      <c r="N15" s="339"/>
      <c r="O15" s="339"/>
      <c r="P15" s="339">
        <v>9489</v>
      </c>
      <c r="Q15" s="339">
        <v>6029</v>
      </c>
      <c r="R15" s="339">
        <f>6029+3460+11924</f>
        <v>21413</v>
      </c>
      <c r="S15" s="339">
        <v>6029</v>
      </c>
      <c r="T15" s="339">
        <v>45000</v>
      </c>
      <c r="U15" s="339"/>
      <c r="V15" s="339"/>
      <c r="W15" s="339"/>
      <c r="X15" s="339">
        <v>6029</v>
      </c>
      <c r="Y15" s="339"/>
      <c r="Z15" s="339"/>
      <c r="AA15" s="339"/>
      <c r="AB15" s="339">
        <v>38971</v>
      </c>
      <c r="AC15" s="339"/>
      <c r="AD15" s="339"/>
      <c r="AE15" s="339"/>
      <c r="AF15" s="339">
        <f t="shared" si="2"/>
        <v>0</v>
      </c>
      <c r="AG15" s="339">
        <f t="shared" si="3"/>
        <v>0</v>
      </c>
      <c r="AH15" s="339">
        <v>38971</v>
      </c>
      <c r="AI15" s="339"/>
      <c r="AJ15" s="339"/>
      <c r="AK15" s="339"/>
      <c r="AL15" s="388"/>
      <c r="AM15" s="400">
        <f t="shared" si="4"/>
        <v>0</v>
      </c>
      <c r="AO15" s="391"/>
      <c r="AP15" s="391"/>
      <c r="AQ15" s="391"/>
      <c r="AR15" s="391"/>
      <c r="AS15" s="391"/>
      <c r="AT15" s="391"/>
      <c r="AU15" s="391">
        <v>1</v>
      </c>
      <c r="AV15" s="391"/>
      <c r="AW15" s="391"/>
    </row>
    <row r="16" spans="1:49" s="390" customFormat="1" ht="81.400000000000006" customHeight="1">
      <c r="A16" s="398">
        <v>4</v>
      </c>
      <c r="B16" s="399" t="s">
        <v>395</v>
      </c>
      <c r="C16" s="388" t="s">
        <v>38</v>
      </c>
      <c r="D16" s="260"/>
      <c r="E16" s="260"/>
      <c r="F16" s="388" t="s">
        <v>975</v>
      </c>
      <c r="G16" s="260" t="s">
        <v>642</v>
      </c>
      <c r="H16" s="339">
        <v>63000</v>
      </c>
      <c r="I16" s="339">
        <v>63000</v>
      </c>
      <c r="J16" s="339"/>
      <c r="K16" s="339"/>
      <c r="L16" s="339"/>
      <c r="M16" s="339"/>
      <c r="N16" s="339"/>
      <c r="O16" s="339"/>
      <c r="P16" s="339"/>
      <c r="Q16" s="339"/>
      <c r="R16" s="339">
        <v>0</v>
      </c>
      <c r="S16" s="339">
        <v>0</v>
      </c>
      <c r="T16" s="339">
        <v>63000</v>
      </c>
      <c r="U16" s="339"/>
      <c r="V16" s="339"/>
      <c r="W16" s="339"/>
      <c r="X16" s="339">
        <v>0</v>
      </c>
      <c r="Y16" s="339"/>
      <c r="Z16" s="339"/>
      <c r="AA16" s="339"/>
      <c r="AB16" s="339">
        <v>63000</v>
      </c>
      <c r="AC16" s="339">
        <v>58000</v>
      </c>
      <c r="AD16" s="339"/>
      <c r="AE16" s="339"/>
      <c r="AF16" s="339">
        <f t="shared" si="2"/>
        <v>0</v>
      </c>
      <c r="AG16" s="339">
        <f t="shared" si="3"/>
        <v>0</v>
      </c>
      <c r="AH16" s="339">
        <v>63000</v>
      </c>
      <c r="AI16" s="339">
        <v>58000</v>
      </c>
      <c r="AJ16" s="339"/>
      <c r="AK16" s="339"/>
      <c r="AL16" s="388" t="s">
        <v>1166</v>
      </c>
      <c r="AM16" s="400">
        <f t="shared" si="4"/>
        <v>0</v>
      </c>
      <c r="AO16" s="391"/>
      <c r="AP16" s="391"/>
      <c r="AQ16" s="391"/>
      <c r="AR16" s="391"/>
      <c r="AS16" s="391"/>
      <c r="AT16" s="391"/>
      <c r="AU16" s="391">
        <v>1</v>
      </c>
      <c r="AV16" s="391">
        <v>1</v>
      </c>
      <c r="AW16" s="391" t="s">
        <v>1167</v>
      </c>
    </row>
    <row r="17" spans="1:49" s="390" customFormat="1" ht="66.75" customHeight="1">
      <c r="A17" s="398">
        <v>5</v>
      </c>
      <c r="B17" s="399" t="s">
        <v>502</v>
      </c>
      <c r="C17" s="388" t="s">
        <v>39</v>
      </c>
      <c r="D17" s="260"/>
      <c r="E17" s="260"/>
      <c r="F17" s="388"/>
      <c r="G17" s="260" t="s">
        <v>1048</v>
      </c>
      <c r="H17" s="339">
        <v>44500</v>
      </c>
      <c r="I17" s="339">
        <v>24500</v>
      </c>
      <c r="J17" s="339"/>
      <c r="K17" s="339"/>
      <c r="L17" s="339"/>
      <c r="M17" s="339"/>
      <c r="N17" s="339"/>
      <c r="O17" s="339"/>
      <c r="P17" s="339"/>
      <c r="Q17" s="339"/>
      <c r="R17" s="339"/>
      <c r="S17" s="339"/>
      <c r="T17" s="339">
        <v>24500</v>
      </c>
      <c r="U17" s="339"/>
      <c r="V17" s="339"/>
      <c r="W17" s="339"/>
      <c r="X17" s="339"/>
      <c r="Y17" s="339"/>
      <c r="Z17" s="339"/>
      <c r="AA17" s="339"/>
      <c r="AB17" s="339">
        <v>24500</v>
      </c>
      <c r="AC17" s="339"/>
      <c r="AD17" s="339"/>
      <c r="AE17" s="339"/>
      <c r="AF17" s="339">
        <f t="shared" si="2"/>
        <v>0</v>
      </c>
      <c r="AG17" s="339">
        <f t="shared" si="3"/>
        <v>0</v>
      </c>
      <c r="AH17" s="339">
        <v>24500</v>
      </c>
      <c r="AI17" s="339"/>
      <c r="AJ17" s="339"/>
      <c r="AK17" s="339"/>
      <c r="AL17" s="388"/>
      <c r="AM17" s="400"/>
      <c r="AO17" s="391"/>
      <c r="AP17" s="391"/>
      <c r="AQ17" s="391"/>
      <c r="AR17" s="391"/>
      <c r="AS17" s="391"/>
      <c r="AT17" s="391"/>
      <c r="AU17" s="391"/>
      <c r="AV17" s="391"/>
      <c r="AW17" s="391"/>
    </row>
    <row r="18" spans="1:49" s="390" customFormat="1" ht="142.15" customHeight="1">
      <c r="A18" s="398">
        <v>6</v>
      </c>
      <c r="B18" s="399" t="s">
        <v>984</v>
      </c>
      <c r="C18" s="388"/>
      <c r="D18" s="260"/>
      <c r="E18" s="260"/>
      <c r="F18" s="388"/>
      <c r="G18" s="260"/>
      <c r="H18" s="339">
        <v>24135</v>
      </c>
      <c r="I18" s="339">
        <v>24135</v>
      </c>
      <c r="J18" s="339"/>
      <c r="K18" s="339"/>
      <c r="L18" s="339"/>
      <c r="M18" s="339"/>
      <c r="N18" s="339"/>
      <c r="O18" s="339"/>
      <c r="P18" s="339"/>
      <c r="Q18" s="339"/>
      <c r="R18" s="339"/>
      <c r="S18" s="339"/>
      <c r="T18" s="339">
        <v>0</v>
      </c>
      <c r="U18" s="339"/>
      <c r="V18" s="339"/>
      <c r="W18" s="339"/>
      <c r="X18" s="339"/>
      <c r="Y18" s="339"/>
      <c r="Z18" s="339"/>
      <c r="AA18" s="339"/>
      <c r="AB18" s="339">
        <v>500</v>
      </c>
      <c r="AC18" s="339"/>
      <c r="AD18" s="339"/>
      <c r="AE18" s="339">
        <v>500</v>
      </c>
      <c r="AF18" s="339">
        <f t="shared" si="2"/>
        <v>0</v>
      </c>
      <c r="AG18" s="339">
        <f t="shared" si="3"/>
        <v>500</v>
      </c>
      <c r="AH18" s="339">
        <v>0</v>
      </c>
      <c r="AI18" s="339"/>
      <c r="AJ18" s="339"/>
      <c r="AK18" s="339"/>
      <c r="AL18" s="388" t="s">
        <v>1253</v>
      </c>
      <c r="AM18" s="400"/>
      <c r="AO18" s="391"/>
      <c r="AP18" s="391"/>
      <c r="AQ18" s="391"/>
      <c r="AR18" s="391"/>
      <c r="AS18" s="391"/>
      <c r="AT18" s="391"/>
      <c r="AU18" s="391">
        <v>1</v>
      </c>
      <c r="AV18" s="391"/>
      <c r="AW18" s="391"/>
    </row>
    <row r="19" spans="1:49" s="390" customFormat="1" ht="70.5" customHeight="1">
      <c r="A19" s="398">
        <v>7</v>
      </c>
      <c r="B19" s="399" t="s">
        <v>390</v>
      </c>
      <c r="C19" s="388" t="s">
        <v>38</v>
      </c>
      <c r="D19" s="260" t="s">
        <v>229</v>
      </c>
      <c r="E19" s="260"/>
      <c r="F19" s="388" t="s">
        <v>975</v>
      </c>
      <c r="G19" s="260"/>
      <c r="H19" s="339">
        <v>702000</v>
      </c>
      <c r="I19" s="339">
        <v>702000</v>
      </c>
      <c r="J19" s="339">
        <v>5000</v>
      </c>
      <c r="K19" s="339">
        <v>5000</v>
      </c>
      <c r="L19" s="339"/>
      <c r="M19" s="339"/>
      <c r="N19" s="339"/>
      <c r="O19" s="339"/>
      <c r="P19" s="339">
        <v>5000</v>
      </c>
      <c r="Q19" s="339">
        <v>5000</v>
      </c>
      <c r="R19" s="339">
        <v>5000</v>
      </c>
      <c r="S19" s="339">
        <v>5000</v>
      </c>
      <c r="T19" s="339">
        <v>5000</v>
      </c>
      <c r="U19" s="339"/>
      <c r="V19" s="339"/>
      <c r="W19" s="339"/>
      <c r="X19" s="339">
        <v>5000</v>
      </c>
      <c r="Y19" s="339"/>
      <c r="Z19" s="339"/>
      <c r="AA19" s="339"/>
      <c r="AB19" s="339"/>
      <c r="AC19" s="339"/>
      <c r="AD19" s="339"/>
      <c r="AE19" s="339"/>
      <c r="AF19" s="339">
        <f t="shared" si="2"/>
        <v>0</v>
      </c>
      <c r="AG19" s="339">
        <f t="shared" si="3"/>
        <v>0</v>
      </c>
      <c r="AH19" s="339"/>
      <c r="AI19" s="339"/>
      <c r="AJ19" s="339"/>
      <c r="AK19" s="339"/>
      <c r="AL19" s="388"/>
      <c r="AM19" s="400"/>
      <c r="AO19" s="391"/>
      <c r="AP19" s="391"/>
      <c r="AQ19" s="391"/>
      <c r="AR19" s="391"/>
      <c r="AS19" s="391"/>
      <c r="AT19" s="391"/>
      <c r="AU19" s="391"/>
      <c r="AV19" s="391"/>
      <c r="AW19" s="391"/>
    </row>
    <row r="20" spans="1:49" s="390" customFormat="1" ht="70.5" customHeight="1">
      <c r="A20" s="398">
        <v>8</v>
      </c>
      <c r="B20" s="399" t="s">
        <v>391</v>
      </c>
      <c r="C20" s="388" t="s">
        <v>38</v>
      </c>
      <c r="D20" s="260" t="s">
        <v>229</v>
      </c>
      <c r="E20" s="260"/>
      <c r="F20" s="388" t="s">
        <v>975</v>
      </c>
      <c r="G20" s="260"/>
      <c r="H20" s="339">
        <v>790000</v>
      </c>
      <c r="I20" s="339">
        <v>790000</v>
      </c>
      <c r="J20" s="339">
        <v>5000</v>
      </c>
      <c r="K20" s="339">
        <v>5000</v>
      </c>
      <c r="L20" s="339"/>
      <c r="M20" s="339"/>
      <c r="N20" s="339"/>
      <c r="O20" s="339"/>
      <c r="P20" s="339">
        <v>5000</v>
      </c>
      <c r="Q20" s="339">
        <v>5000</v>
      </c>
      <c r="R20" s="339">
        <v>5000</v>
      </c>
      <c r="S20" s="339">
        <v>5000</v>
      </c>
      <c r="T20" s="339">
        <v>5000</v>
      </c>
      <c r="U20" s="339"/>
      <c r="V20" s="339"/>
      <c r="W20" s="339"/>
      <c r="X20" s="339">
        <v>5000</v>
      </c>
      <c r="Y20" s="339"/>
      <c r="Z20" s="339"/>
      <c r="AA20" s="339"/>
      <c r="AB20" s="339"/>
      <c r="AC20" s="339"/>
      <c r="AD20" s="339"/>
      <c r="AE20" s="339"/>
      <c r="AF20" s="339">
        <f t="shared" si="2"/>
        <v>0</v>
      </c>
      <c r="AG20" s="339">
        <f t="shared" si="3"/>
        <v>0</v>
      </c>
      <c r="AH20" s="339"/>
      <c r="AI20" s="339"/>
      <c r="AJ20" s="339"/>
      <c r="AK20" s="339"/>
      <c r="AL20" s="388"/>
      <c r="AM20" s="400"/>
      <c r="AO20" s="391"/>
      <c r="AP20" s="391"/>
      <c r="AQ20" s="391"/>
      <c r="AR20" s="391"/>
      <c r="AS20" s="391"/>
      <c r="AT20" s="391"/>
      <c r="AU20" s="391"/>
      <c r="AV20" s="391"/>
      <c r="AW20" s="391"/>
    </row>
    <row r="21" spans="1:49" s="390" customFormat="1" ht="70.5" customHeight="1">
      <c r="A21" s="398">
        <v>9</v>
      </c>
      <c r="B21" s="399" t="s">
        <v>983</v>
      </c>
      <c r="C21" s="388"/>
      <c r="D21" s="260"/>
      <c r="E21" s="260"/>
      <c r="F21" s="388"/>
      <c r="G21" s="260"/>
      <c r="H21" s="339">
        <v>45000</v>
      </c>
      <c r="I21" s="339">
        <v>45000</v>
      </c>
      <c r="J21" s="339"/>
      <c r="K21" s="339"/>
      <c r="L21" s="339"/>
      <c r="M21" s="339"/>
      <c r="N21" s="339"/>
      <c r="O21" s="339"/>
      <c r="P21" s="339"/>
      <c r="Q21" s="339"/>
      <c r="R21" s="339"/>
      <c r="S21" s="339"/>
      <c r="T21" s="339">
        <v>500</v>
      </c>
      <c r="U21" s="339"/>
      <c r="V21" s="339"/>
      <c r="W21" s="339"/>
      <c r="X21" s="339"/>
      <c r="Y21" s="339"/>
      <c r="Z21" s="339"/>
      <c r="AA21" s="339"/>
      <c r="AB21" s="339"/>
      <c r="AC21" s="339"/>
      <c r="AD21" s="339"/>
      <c r="AE21" s="339"/>
      <c r="AF21" s="339">
        <f t="shared" si="2"/>
        <v>500</v>
      </c>
      <c r="AG21" s="339">
        <f t="shared" si="3"/>
        <v>0</v>
      </c>
      <c r="AH21" s="339">
        <v>500</v>
      </c>
      <c r="AI21" s="339"/>
      <c r="AJ21" s="339"/>
      <c r="AK21" s="339">
        <v>500</v>
      </c>
      <c r="AL21" s="388" t="s">
        <v>1154</v>
      </c>
      <c r="AM21" s="400"/>
      <c r="AO21" s="391"/>
      <c r="AP21" s="391"/>
      <c r="AQ21" s="391"/>
      <c r="AR21" s="391"/>
      <c r="AS21" s="391"/>
      <c r="AT21" s="391"/>
      <c r="AU21" s="391"/>
      <c r="AV21" s="391"/>
      <c r="AW21" s="391"/>
    </row>
    <row r="22" spans="1:49" s="390" customFormat="1" ht="70.5" customHeight="1">
      <c r="A22" s="398">
        <v>10</v>
      </c>
      <c r="B22" s="399" t="s">
        <v>1248</v>
      </c>
      <c r="C22" s="388"/>
      <c r="D22" s="260"/>
      <c r="E22" s="260"/>
      <c r="F22" s="388"/>
      <c r="G22" s="260"/>
      <c r="H22" s="339"/>
      <c r="I22" s="339"/>
      <c r="J22" s="339"/>
      <c r="K22" s="339"/>
      <c r="L22" s="339"/>
      <c r="M22" s="339"/>
      <c r="N22" s="339"/>
      <c r="O22" s="339"/>
      <c r="P22" s="339"/>
      <c r="Q22" s="339"/>
      <c r="R22" s="339"/>
      <c r="S22" s="339"/>
      <c r="T22" s="339"/>
      <c r="U22" s="339"/>
      <c r="V22" s="339"/>
      <c r="W22" s="339"/>
      <c r="X22" s="339"/>
      <c r="Y22" s="339"/>
      <c r="Z22" s="339"/>
      <c r="AA22" s="339"/>
      <c r="AB22" s="339">
        <v>27146</v>
      </c>
      <c r="AC22" s="339"/>
      <c r="AD22" s="339"/>
      <c r="AE22" s="339"/>
      <c r="AF22" s="339"/>
      <c r="AG22" s="339"/>
      <c r="AH22" s="339"/>
      <c r="AI22" s="339"/>
      <c r="AJ22" s="339"/>
      <c r="AK22" s="339"/>
      <c r="AL22" s="388"/>
      <c r="AM22" s="400"/>
      <c r="AO22" s="391"/>
      <c r="AP22" s="391"/>
      <c r="AQ22" s="391">
        <f>SUM(AH23:AH33)</f>
        <v>27146</v>
      </c>
      <c r="AR22" s="391"/>
      <c r="AS22" s="391"/>
      <c r="AT22" s="391"/>
      <c r="AU22" s="391"/>
      <c r="AV22" s="391"/>
      <c r="AW22" s="391"/>
    </row>
    <row r="23" spans="1:49" s="390" customFormat="1" ht="67.5" customHeight="1">
      <c r="A23" s="398">
        <v>11</v>
      </c>
      <c r="B23" s="399" t="s">
        <v>466</v>
      </c>
      <c r="C23" s="388"/>
      <c r="D23" s="260"/>
      <c r="E23" s="260"/>
      <c r="F23" s="388"/>
      <c r="G23" s="260" t="s">
        <v>1077</v>
      </c>
      <c r="H23" s="339">
        <v>14950</v>
      </c>
      <c r="I23" s="339">
        <v>12450</v>
      </c>
      <c r="J23" s="339"/>
      <c r="K23" s="339"/>
      <c r="L23" s="339"/>
      <c r="M23" s="339"/>
      <c r="N23" s="339"/>
      <c r="O23" s="339"/>
      <c r="P23" s="339"/>
      <c r="Q23" s="339"/>
      <c r="R23" s="339"/>
      <c r="S23" s="339"/>
      <c r="T23" s="339">
        <v>2500</v>
      </c>
      <c r="U23" s="339"/>
      <c r="V23" s="339"/>
      <c r="W23" s="339"/>
      <c r="X23" s="339"/>
      <c r="Y23" s="339"/>
      <c r="Z23" s="339"/>
      <c r="AA23" s="339"/>
      <c r="AB23" s="339"/>
      <c r="AC23" s="339"/>
      <c r="AD23" s="339"/>
      <c r="AE23" s="339"/>
      <c r="AF23" s="339"/>
      <c r="AG23" s="339"/>
      <c r="AH23" s="339">
        <v>2500</v>
      </c>
      <c r="AI23" s="339"/>
      <c r="AJ23" s="339"/>
      <c r="AK23" s="339"/>
      <c r="AL23" s="401" t="s">
        <v>1246</v>
      </c>
      <c r="AM23" s="400"/>
      <c r="AO23" s="391"/>
      <c r="AP23" s="391"/>
      <c r="AQ23" s="391"/>
      <c r="AR23" s="391"/>
      <c r="AS23" s="391"/>
      <c r="AT23" s="391"/>
      <c r="AU23" s="391"/>
      <c r="AV23" s="391"/>
      <c r="AW23" s="391"/>
    </row>
    <row r="24" spans="1:49" s="390" customFormat="1" ht="67.5" customHeight="1">
      <c r="A24" s="398">
        <v>12</v>
      </c>
      <c r="B24" s="399" t="s">
        <v>467</v>
      </c>
      <c r="C24" s="388"/>
      <c r="D24" s="260"/>
      <c r="E24" s="260"/>
      <c r="F24" s="388"/>
      <c r="G24" s="260" t="s">
        <v>1078</v>
      </c>
      <c r="H24" s="339">
        <v>14900</v>
      </c>
      <c r="I24" s="339">
        <v>12400</v>
      </c>
      <c r="J24" s="339"/>
      <c r="K24" s="339"/>
      <c r="L24" s="339"/>
      <c r="M24" s="339"/>
      <c r="N24" s="339"/>
      <c r="O24" s="339"/>
      <c r="P24" s="339"/>
      <c r="Q24" s="339"/>
      <c r="R24" s="339"/>
      <c r="S24" s="339"/>
      <c r="T24" s="339">
        <v>2500</v>
      </c>
      <c r="U24" s="339"/>
      <c r="V24" s="339"/>
      <c r="W24" s="339"/>
      <c r="X24" s="339"/>
      <c r="Y24" s="339"/>
      <c r="Z24" s="339"/>
      <c r="AA24" s="339"/>
      <c r="AB24" s="339"/>
      <c r="AC24" s="339"/>
      <c r="AD24" s="339"/>
      <c r="AE24" s="339"/>
      <c r="AF24" s="339"/>
      <c r="AG24" s="339"/>
      <c r="AH24" s="339">
        <v>2500</v>
      </c>
      <c r="AI24" s="339"/>
      <c r="AJ24" s="339"/>
      <c r="AK24" s="339"/>
      <c r="AL24" s="401" t="s">
        <v>1246</v>
      </c>
      <c r="AM24" s="400"/>
      <c r="AO24" s="391"/>
      <c r="AP24" s="391"/>
      <c r="AQ24" s="391"/>
      <c r="AR24" s="391"/>
      <c r="AS24" s="391"/>
      <c r="AT24" s="391"/>
      <c r="AU24" s="391"/>
      <c r="AV24" s="391"/>
      <c r="AW24" s="391"/>
    </row>
    <row r="25" spans="1:49" s="390" customFormat="1" ht="61.5" customHeight="1">
      <c r="A25" s="398">
        <v>13</v>
      </c>
      <c r="B25" s="399" t="s">
        <v>468</v>
      </c>
      <c r="C25" s="388"/>
      <c r="D25" s="260"/>
      <c r="E25" s="260"/>
      <c r="F25" s="388"/>
      <c r="G25" s="260" t="s">
        <v>1079</v>
      </c>
      <c r="H25" s="339">
        <v>9000</v>
      </c>
      <c r="I25" s="339">
        <v>6500</v>
      </c>
      <c r="J25" s="339"/>
      <c r="K25" s="339"/>
      <c r="L25" s="339"/>
      <c r="M25" s="339"/>
      <c r="N25" s="339"/>
      <c r="O25" s="339"/>
      <c r="P25" s="339"/>
      <c r="Q25" s="339"/>
      <c r="R25" s="339"/>
      <c r="S25" s="339"/>
      <c r="T25" s="339">
        <v>2500</v>
      </c>
      <c r="U25" s="339"/>
      <c r="V25" s="339"/>
      <c r="W25" s="339"/>
      <c r="X25" s="339"/>
      <c r="Y25" s="339"/>
      <c r="Z25" s="339"/>
      <c r="AA25" s="339"/>
      <c r="AB25" s="339"/>
      <c r="AC25" s="339"/>
      <c r="AD25" s="339"/>
      <c r="AE25" s="339"/>
      <c r="AF25" s="339"/>
      <c r="AG25" s="339"/>
      <c r="AH25" s="339">
        <v>2500</v>
      </c>
      <c r="AI25" s="339"/>
      <c r="AJ25" s="339"/>
      <c r="AK25" s="339"/>
      <c r="AL25" s="401" t="s">
        <v>1246</v>
      </c>
      <c r="AM25" s="400"/>
      <c r="AO25" s="391"/>
      <c r="AP25" s="391"/>
      <c r="AQ25" s="391"/>
      <c r="AR25" s="391"/>
      <c r="AS25" s="391"/>
      <c r="AT25" s="391"/>
      <c r="AU25" s="391"/>
      <c r="AV25" s="391"/>
      <c r="AW25" s="391"/>
    </row>
    <row r="26" spans="1:49" s="390" customFormat="1" ht="61.5" customHeight="1">
      <c r="A26" s="398">
        <v>14</v>
      </c>
      <c r="B26" s="399" t="s">
        <v>470</v>
      </c>
      <c r="C26" s="388"/>
      <c r="D26" s="260"/>
      <c r="E26" s="260"/>
      <c r="F26" s="388"/>
      <c r="G26" s="260" t="s">
        <v>1080</v>
      </c>
      <c r="H26" s="339">
        <v>11150</v>
      </c>
      <c r="I26" s="339">
        <v>8650</v>
      </c>
      <c r="J26" s="339"/>
      <c r="K26" s="339"/>
      <c r="L26" s="339"/>
      <c r="M26" s="339"/>
      <c r="N26" s="339"/>
      <c r="O26" s="339"/>
      <c r="P26" s="339"/>
      <c r="Q26" s="339"/>
      <c r="R26" s="339"/>
      <c r="S26" s="339"/>
      <c r="T26" s="339">
        <v>2500</v>
      </c>
      <c r="U26" s="339"/>
      <c r="V26" s="339"/>
      <c r="W26" s="339"/>
      <c r="X26" s="339"/>
      <c r="Y26" s="339"/>
      <c r="Z26" s="339"/>
      <c r="AA26" s="339"/>
      <c r="AB26" s="339"/>
      <c r="AC26" s="339"/>
      <c r="AD26" s="339"/>
      <c r="AE26" s="339"/>
      <c r="AF26" s="339"/>
      <c r="AG26" s="339"/>
      <c r="AH26" s="339">
        <v>2500</v>
      </c>
      <c r="AI26" s="339"/>
      <c r="AJ26" s="339"/>
      <c r="AK26" s="339"/>
      <c r="AL26" s="401" t="s">
        <v>1246</v>
      </c>
      <c r="AM26" s="400"/>
      <c r="AO26" s="391"/>
      <c r="AP26" s="391"/>
      <c r="AQ26" s="391"/>
      <c r="AR26" s="391"/>
      <c r="AS26" s="391"/>
      <c r="AT26" s="391"/>
      <c r="AU26" s="391"/>
      <c r="AV26" s="391"/>
      <c r="AW26" s="391"/>
    </row>
    <row r="27" spans="1:49" s="390" customFormat="1" ht="57.75" customHeight="1">
      <c r="A27" s="398">
        <v>15</v>
      </c>
      <c r="B27" s="399" t="s">
        <v>1169</v>
      </c>
      <c r="C27" s="388"/>
      <c r="D27" s="260"/>
      <c r="E27" s="260"/>
      <c r="F27" s="388"/>
      <c r="G27" s="260" t="s">
        <v>1988</v>
      </c>
      <c r="H27" s="339">
        <v>14800</v>
      </c>
      <c r="I27" s="339">
        <v>14800</v>
      </c>
      <c r="J27" s="339"/>
      <c r="K27" s="339"/>
      <c r="L27" s="339"/>
      <c r="M27" s="339"/>
      <c r="N27" s="339"/>
      <c r="O27" s="339"/>
      <c r="P27" s="339"/>
      <c r="Q27" s="339"/>
      <c r="R27" s="339"/>
      <c r="S27" s="339"/>
      <c r="T27" s="339">
        <v>2500</v>
      </c>
      <c r="U27" s="339"/>
      <c r="V27" s="339"/>
      <c r="W27" s="339"/>
      <c r="X27" s="339"/>
      <c r="Y27" s="339"/>
      <c r="Z27" s="339"/>
      <c r="AA27" s="339"/>
      <c r="AB27" s="339"/>
      <c r="AC27" s="339"/>
      <c r="AD27" s="339"/>
      <c r="AE27" s="339"/>
      <c r="AF27" s="339"/>
      <c r="AG27" s="339"/>
      <c r="AH27" s="339">
        <v>2500</v>
      </c>
      <c r="AI27" s="339"/>
      <c r="AJ27" s="339"/>
      <c r="AK27" s="339"/>
      <c r="AL27" s="401" t="s">
        <v>1246</v>
      </c>
      <c r="AM27" s="400"/>
      <c r="AO27" s="391"/>
      <c r="AP27" s="391"/>
      <c r="AQ27" s="391"/>
      <c r="AR27" s="391"/>
      <c r="AS27" s="391"/>
      <c r="AT27" s="391"/>
      <c r="AU27" s="391"/>
      <c r="AV27" s="391"/>
      <c r="AW27" s="391"/>
    </row>
    <row r="28" spans="1:49" s="390" customFormat="1" ht="57.75" customHeight="1">
      <c r="A28" s="398">
        <v>16</v>
      </c>
      <c r="B28" s="399" t="s">
        <v>1170</v>
      </c>
      <c r="C28" s="388"/>
      <c r="D28" s="260"/>
      <c r="E28" s="260"/>
      <c r="F28" s="388"/>
      <c r="G28" s="260" t="s">
        <v>1982</v>
      </c>
      <c r="H28" s="339">
        <v>14700</v>
      </c>
      <c r="I28" s="339">
        <v>14700</v>
      </c>
      <c r="J28" s="339"/>
      <c r="K28" s="339"/>
      <c r="L28" s="339"/>
      <c r="M28" s="339"/>
      <c r="N28" s="339"/>
      <c r="O28" s="339"/>
      <c r="P28" s="339"/>
      <c r="Q28" s="339"/>
      <c r="R28" s="339"/>
      <c r="S28" s="339"/>
      <c r="T28" s="339">
        <v>2500</v>
      </c>
      <c r="U28" s="339"/>
      <c r="V28" s="339"/>
      <c r="W28" s="339"/>
      <c r="X28" s="339"/>
      <c r="Y28" s="339"/>
      <c r="Z28" s="339"/>
      <c r="AA28" s="339"/>
      <c r="AB28" s="339"/>
      <c r="AC28" s="339"/>
      <c r="AD28" s="339"/>
      <c r="AE28" s="339"/>
      <c r="AF28" s="339"/>
      <c r="AG28" s="339"/>
      <c r="AH28" s="339">
        <v>2500</v>
      </c>
      <c r="AI28" s="339"/>
      <c r="AJ28" s="339"/>
      <c r="AK28" s="339"/>
      <c r="AL28" s="401" t="s">
        <v>1246</v>
      </c>
      <c r="AM28" s="400"/>
      <c r="AO28" s="391"/>
      <c r="AP28" s="391"/>
      <c r="AQ28" s="391"/>
      <c r="AR28" s="391"/>
      <c r="AS28" s="391"/>
      <c r="AT28" s="391"/>
      <c r="AU28" s="391"/>
      <c r="AV28" s="391"/>
      <c r="AW28" s="391"/>
    </row>
    <row r="29" spans="1:49" s="390" customFormat="1" ht="57.75" customHeight="1">
      <c r="A29" s="398">
        <v>17</v>
      </c>
      <c r="B29" s="399" t="s">
        <v>1171</v>
      </c>
      <c r="C29" s="388"/>
      <c r="D29" s="260"/>
      <c r="E29" s="260"/>
      <c r="F29" s="388"/>
      <c r="G29" s="260" t="s">
        <v>1983</v>
      </c>
      <c r="H29" s="339">
        <v>14500</v>
      </c>
      <c r="I29" s="339">
        <v>14500</v>
      </c>
      <c r="J29" s="339"/>
      <c r="K29" s="339"/>
      <c r="L29" s="339"/>
      <c r="M29" s="339"/>
      <c r="N29" s="339"/>
      <c r="O29" s="339"/>
      <c r="P29" s="339"/>
      <c r="Q29" s="339"/>
      <c r="R29" s="339"/>
      <c r="S29" s="339"/>
      <c r="T29" s="339">
        <v>2500</v>
      </c>
      <c r="U29" s="339"/>
      <c r="V29" s="339"/>
      <c r="W29" s="339"/>
      <c r="X29" s="339"/>
      <c r="Y29" s="339"/>
      <c r="Z29" s="339"/>
      <c r="AA29" s="339"/>
      <c r="AB29" s="339"/>
      <c r="AC29" s="339"/>
      <c r="AD29" s="339"/>
      <c r="AE29" s="339"/>
      <c r="AF29" s="339"/>
      <c r="AG29" s="339"/>
      <c r="AH29" s="339">
        <v>2500</v>
      </c>
      <c r="AI29" s="339"/>
      <c r="AJ29" s="339"/>
      <c r="AK29" s="339"/>
      <c r="AL29" s="401" t="s">
        <v>1246</v>
      </c>
      <c r="AM29" s="400"/>
      <c r="AO29" s="391"/>
      <c r="AP29" s="391"/>
      <c r="AQ29" s="391"/>
      <c r="AR29" s="391"/>
      <c r="AS29" s="391"/>
      <c r="AT29" s="391"/>
      <c r="AU29" s="391"/>
      <c r="AV29" s="391"/>
      <c r="AW29" s="391"/>
    </row>
    <row r="30" spans="1:49" s="390" customFormat="1" ht="63" customHeight="1">
      <c r="A30" s="398">
        <v>18</v>
      </c>
      <c r="B30" s="399" t="s">
        <v>1172</v>
      </c>
      <c r="C30" s="388"/>
      <c r="D30" s="260"/>
      <c r="E30" s="260"/>
      <c r="F30" s="388"/>
      <c r="G30" s="260" t="s">
        <v>1984</v>
      </c>
      <c r="H30" s="339">
        <v>14900</v>
      </c>
      <c r="I30" s="339">
        <v>14900</v>
      </c>
      <c r="J30" s="339"/>
      <c r="K30" s="339"/>
      <c r="L30" s="339"/>
      <c r="M30" s="339"/>
      <c r="N30" s="339"/>
      <c r="O30" s="339"/>
      <c r="P30" s="339"/>
      <c r="Q30" s="339"/>
      <c r="R30" s="339"/>
      <c r="S30" s="339"/>
      <c r="T30" s="339">
        <v>2146</v>
      </c>
      <c r="U30" s="339"/>
      <c r="V30" s="339"/>
      <c r="W30" s="339"/>
      <c r="X30" s="339"/>
      <c r="Y30" s="339"/>
      <c r="Z30" s="339"/>
      <c r="AA30" s="339"/>
      <c r="AB30" s="339"/>
      <c r="AC30" s="339"/>
      <c r="AD30" s="339"/>
      <c r="AE30" s="339"/>
      <c r="AF30" s="339"/>
      <c r="AG30" s="339"/>
      <c r="AH30" s="339">
        <v>2146</v>
      </c>
      <c r="AI30" s="339"/>
      <c r="AJ30" s="339"/>
      <c r="AK30" s="339"/>
      <c r="AL30" s="401" t="s">
        <v>1246</v>
      </c>
      <c r="AM30" s="400"/>
      <c r="AO30" s="391"/>
      <c r="AP30" s="391"/>
      <c r="AQ30" s="391"/>
      <c r="AR30" s="391"/>
      <c r="AS30" s="391"/>
      <c r="AT30" s="391"/>
      <c r="AU30" s="391"/>
      <c r="AV30" s="391"/>
      <c r="AW30" s="391"/>
    </row>
    <row r="31" spans="1:49" s="390" customFormat="1" ht="57.75" customHeight="1">
      <c r="A31" s="398">
        <v>19</v>
      </c>
      <c r="B31" s="399" t="s">
        <v>1173</v>
      </c>
      <c r="C31" s="388"/>
      <c r="D31" s="260"/>
      <c r="E31" s="260"/>
      <c r="F31" s="388"/>
      <c r="G31" s="260" t="s">
        <v>1985</v>
      </c>
      <c r="H31" s="339">
        <v>14800</v>
      </c>
      <c r="I31" s="339">
        <v>14800</v>
      </c>
      <c r="J31" s="339"/>
      <c r="K31" s="339"/>
      <c r="L31" s="339"/>
      <c r="M31" s="339"/>
      <c r="N31" s="339"/>
      <c r="O31" s="339"/>
      <c r="P31" s="339"/>
      <c r="Q31" s="339"/>
      <c r="R31" s="339"/>
      <c r="S31" s="339"/>
      <c r="T31" s="339">
        <v>2500</v>
      </c>
      <c r="U31" s="339"/>
      <c r="V31" s="339"/>
      <c r="W31" s="339"/>
      <c r="X31" s="339"/>
      <c r="Y31" s="339"/>
      <c r="Z31" s="339"/>
      <c r="AA31" s="339"/>
      <c r="AB31" s="339"/>
      <c r="AC31" s="339"/>
      <c r="AD31" s="339"/>
      <c r="AE31" s="339"/>
      <c r="AF31" s="339"/>
      <c r="AG31" s="339"/>
      <c r="AH31" s="339">
        <v>2500</v>
      </c>
      <c r="AI31" s="339"/>
      <c r="AJ31" s="339"/>
      <c r="AK31" s="339"/>
      <c r="AL31" s="401" t="s">
        <v>1246</v>
      </c>
      <c r="AM31" s="400"/>
      <c r="AO31" s="391"/>
      <c r="AP31" s="391"/>
      <c r="AQ31" s="391"/>
      <c r="AR31" s="391"/>
      <c r="AS31" s="391"/>
      <c r="AT31" s="391"/>
      <c r="AU31" s="391"/>
      <c r="AV31" s="391"/>
      <c r="AW31" s="391"/>
    </row>
    <row r="32" spans="1:49" s="390" customFormat="1" ht="57.75" customHeight="1">
      <c r="A32" s="398">
        <v>20</v>
      </c>
      <c r="B32" s="399" t="s">
        <v>1174</v>
      </c>
      <c r="C32" s="388"/>
      <c r="D32" s="260"/>
      <c r="E32" s="260"/>
      <c r="F32" s="388"/>
      <c r="G32" s="260" t="s">
        <v>1986</v>
      </c>
      <c r="H32" s="339">
        <v>14900</v>
      </c>
      <c r="I32" s="339">
        <v>14900</v>
      </c>
      <c r="J32" s="339"/>
      <c r="K32" s="339"/>
      <c r="L32" s="339"/>
      <c r="M32" s="339"/>
      <c r="N32" s="339"/>
      <c r="O32" s="339"/>
      <c r="P32" s="339"/>
      <c r="Q32" s="339"/>
      <c r="R32" s="339"/>
      <c r="S32" s="339"/>
      <c r="T32" s="339">
        <v>2500</v>
      </c>
      <c r="U32" s="339"/>
      <c r="V32" s="339"/>
      <c r="W32" s="339"/>
      <c r="X32" s="339"/>
      <c r="Y32" s="339"/>
      <c r="Z32" s="339"/>
      <c r="AA32" s="339"/>
      <c r="AB32" s="339"/>
      <c r="AC32" s="339"/>
      <c r="AD32" s="339"/>
      <c r="AE32" s="339"/>
      <c r="AF32" s="339"/>
      <c r="AG32" s="339"/>
      <c r="AH32" s="339">
        <v>2500</v>
      </c>
      <c r="AI32" s="339"/>
      <c r="AJ32" s="339"/>
      <c r="AK32" s="339"/>
      <c r="AL32" s="401" t="s">
        <v>1246</v>
      </c>
      <c r="AM32" s="400"/>
      <c r="AO32" s="391"/>
      <c r="AP32" s="391"/>
      <c r="AQ32" s="391"/>
      <c r="AR32" s="391"/>
      <c r="AS32" s="391"/>
      <c r="AT32" s="391"/>
      <c r="AU32" s="391"/>
      <c r="AV32" s="391"/>
      <c r="AW32" s="391"/>
    </row>
    <row r="33" spans="1:49" s="390" customFormat="1" ht="57.75" customHeight="1">
      <c r="A33" s="398">
        <v>21</v>
      </c>
      <c r="B33" s="399" t="s">
        <v>1175</v>
      </c>
      <c r="C33" s="388"/>
      <c r="D33" s="260"/>
      <c r="E33" s="260"/>
      <c r="F33" s="388"/>
      <c r="G33" s="260" t="s">
        <v>1987</v>
      </c>
      <c r="H33" s="339">
        <v>14800</v>
      </c>
      <c r="I33" s="339">
        <v>14800</v>
      </c>
      <c r="J33" s="339"/>
      <c r="K33" s="339"/>
      <c r="L33" s="339"/>
      <c r="M33" s="339"/>
      <c r="N33" s="339"/>
      <c r="O33" s="339"/>
      <c r="P33" s="339"/>
      <c r="Q33" s="339"/>
      <c r="R33" s="339"/>
      <c r="S33" s="339"/>
      <c r="T33" s="339">
        <v>2500</v>
      </c>
      <c r="U33" s="339"/>
      <c r="V33" s="339"/>
      <c r="W33" s="339"/>
      <c r="X33" s="339"/>
      <c r="Y33" s="339"/>
      <c r="Z33" s="339"/>
      <c r="AA33" s="339"/>
      <c r="AB33" s="339"/>
      <c r="AC33" s="339"/>
      <c r="AD33" s="339"/>
      <c r="AE33" s="339"/>
      <c r="AF33" s="339"/>
      <c r="AG33" s="339"/>
      <c r="AH33" s="339">
        <v>2500</v>
      </c>
      <c r="AI33" s="339"/>
      <c r="AJ33" s="339"/>
      <c r="AK33" s="339"/>
      <c r="AL33" s="401" t="s">
        <v>1246</v>
      </c>
      <c r="AM33" s="400"/>
      <c r="AO33" s="391"/>
      <c r="AP33" s="391"/>
      <c r="AQ33" s="391"/>
      <c r="AR33" s="391"/>
      <c r="AS33" s="391"/>
      <c r="AT33" s="391"/>
      <c r="AU33" s="391"/>
      <c r="AV33" s="391"/>
      <c r="AW33" s="391"/>
    </row>
    <row r="34" spans="1:49" s="396" customFormat="1" ht="65.25" customHeight="1">
      <c r="A34" s="269" t="s">
        <v>38</v>
      </c>
      <c r="B34" s="270" t="s">
        <v>1178</v>
      </c>
      <c r="C34" s="393"/>
      <c r="D34" s="261"/>
      <c r="E34" s="261"/>
      <c r="F34" s="393" t="s">
        <v>975</v>
      </c>
      <c r="G34" s="261"/>
      <c r="H34" s="394">
        <f t="shared" ref="H34:AE34" si="5">H35+H41+H52</f>
        <v>7842894.4000000004</v>
      </c>
      <c r="I34" s="394">
        <f t="shared" si="5"/>
        <v>2836125.9</v>
      </c>
      <c r="J34" s="394">
        <f t="shared" si="5"/>
        <v>630988.17271508649</v>
      </c>
      <c r="K34" s="394">
        <f t="shared" si="5"/>
        <v>630988.17271508649</v>
      </c>
      <c r="L34" s="394">
        <f t="shared" si="5"/>
        <v>241518.46100500005</v>
      </c>
      <c r="M34" s="394">
        <f t="shared" si="5"/>
        <v>241518.46100500005</v>
      </c>
      <c r="N34" s="394">
        <f t="shared" si="5"/>
        <v>292771.47204399999</v>
      </c>
      <c r="O34" s="394">
        <f t="shared" si="5"/>
        <v>292771.47204399999</v>
      </c>
      <c r="P34" s="394">
        <f t="shared" si="5"/>
        <v>630988.17271508649</v>
      </c>
      <c r="Q34" s="394">
        <f t="shared" si="5"/>
        <v>630988.17271508649</v>
      </c>
      <c r="R34" s="394">
        <f t="shared" si="5"/>
        <v>2306826.5027150866</v>
      </c>
      <c r="S34" s="394">
        <f t="shared" si="5"/>
        <v>1805767.5027150863</v>
      </c>
      <c r="T34" s="394">
        <f t="shared" si="5"/>
        <v>2264894.5027150866</v>
      </c>
      <c r="U34" s="394">
        <f t="shared" si="5"/>
        <v>0</v>
      </c>
      <c r="V34" s="394">
        <f t="shared" si="5"/>
        <v>0</v>
      </c>
      <c r="W34" s="394">
        <f t="shared" si="5"/>
        <v>0</v>
      </c>
      <c r="X34" s="394">
        <f t="shared" si="5"/>
        <v>1534094.5027150863</v>
      </c>
      <c r="Y34" s="394">
        <f t="shared" si="5"/>
        <v>0</v>
      </c>
      <c r="Z34" s="394">
        <f t="shared" si="5"/>
        <v>0</v>
      </c>
      <c r="AA34" s="394">
        <f t="shared" si="5"/>
        <v>0</v>
      </c>
      <c r="AB34" s="394">
        <f t="shared" si="5"/>
        <v>730800</v>
      </c>
      <c r="AC34" s="394">
        <f t="shared" si="5"/>
        <v>0</v>
      </c>
      <c r="AD34" s="394">
        <f t="shared" si="5"/>
        <v>0</v>
      </c>
      <c r="AE34" s="394">
        <f t="shared" si="5"/>
        <v>8305</v>
      </c>
      <c r="AF34" s="394">
        <f t="shared" ref="AF34:AG34" si="6">AF35+AF41+AF52</f>
        <v>6745</v>
      </c>
      <c r="AG34" s="394">
        <f t="shared" si="6"/>
        <v>6745</v>
      </c>
      <c r="AH34" s="394">
        <f t="shared" ref="AH34:AK34" si="7">AH35+AH41+AH52</f>
        <v>730800</v>
      </c>
      <c r="AI34" s="394">
        <f t="shared" si="7"/>
        <v>0</v>
      </c>
      <c r="AJ34" s="394">
        <f t="shared" si="7"/>
        <v>0</v>
      </c>
      <c r="AK34" s="394">
        <f t="shared" si="7"/>
        <v>8105</v>
      </c>
      <c r="AL34" s="393"/>
      <c r="AM34" s="400">
        <f t="shared" si="4"/>
        <v>0</v>
      </c>
      <c r="AN34" s="396">
        <v>730800</v>
      </c>
      <c r="AO34" s="397"/>
      <c r="AP34" s="397"/>
      <c r="AQ34" s="397"/>
      <c r="AR34" s="397"/>
      <c r="AS34" s="397"/>
      <c r="AT34" s="397"/>
      <c r="AU34" s="397"/>
      <c r="AV34" s="397"/>
      <c r="AW34" s="397"/>
    </row>
    <row r="35" spans="1:49" s="396" customFormat="1" ht="28.5" customHeight="1">
      <c r="A35" s="269" t="s">
        <v>33</v>
      </c>
      <c r="B35" s="270" t="s">
        <v>1179</v>
      </c>
      <c r="C35" s="393"/>
      <c r="D35" s="261"/>
      <c r="E35" s="261"/>
      <c r="F35" s="393" t="s">
        <v>975</v>
      </c>
      <c r="G35" s="261"/>
      <c r="H35" s="394">
        <f t="shared" ref="H35:AE35" si="8">SUM(H36:H40)</f>
        <v>260950</v>
      </c>
      <c r="I35" s="394">
        <f t="shared" si="8"/>
        <v>260950</v>
      </c>
      <c r="J35" s="394">
        <f t="shared" si="8"/>
        <v>67752</v>
      </c>
      <c r="K35" s="394">
        <f t="shared" si="8"/>
        <v>67752</v>
      </c>
      <c r="L35" s="394">
        <f t="shared" si="8"/>
        <v>7829.1510600000001</v>
      </c>
      <c r="M35" s="394">
        <f t="shared" si="8"/>
        <v>7829.1510600000001</v>
      </c>
      <c r="N35" s="394">
        <f t="shared" si="8"/>
        <v>8772.3496639999994</v>
      </c>
      <c r="O35" s="394">
        <f t="shared" si="8"/>
        <v>8772.3496639999994</v>
      </c>
      <c r="P35" s="394">
        <f t="shared" si="8"/>
        <v>67752</v>
      </c>
      <c r="Q35" s="394">
        <f t="shared" si="8"/>
        <v>67752</v>
      </c>
      <c r="R35" s="394">
        <f t="shared" si="8"/>
        <v>122384</v>
      </c>
      <c r="S35" s="394">
        <f t="shared" si="8"/>
        <v>122384</v>
      </c>
      <c r="T35" s="394">
        <f t="shared" si="8"/>
        <v>183464</v>
      </c>
      <c r="U35" s="394">
        <f t="shared" si="8"/>
        <v>0</v>
      </c>
      <c r="V35" s="394">
        <f t="shared" si="8"/>
        <v>0</v>
      </c>
      <c r="W35" s="394">
        <f t="shared" si="8"/>
        <v>0</v>
      </c>
      <c r="X35" s="394">
        <f t="shared" si="8"/>
        <v>110384</v>
      </c>
      <c r="Y35" s="394">
        <f t="shared" si="8"/>
        <v>0</v>
      </c>
      <c r="Z35" s="394">
        <f t="shared" si="8"/>
        <v>0</v>
      </c>
      <c r="AA35" s="394">
        <f t="shared" si="8"/>
        <v>0</v>
      </c>
      <c r="AB35" s="394">
        <f t="shared" si="8"/>
        <v>73080</v>
      </c>
      <c r="AC35" s="394">
        <f t="shared" si="8"/>
        <v>0</v>
      </c>
      <c r="AD35" s="394">
        <f t="shared" si="8"/>
        <v>0</v>
      </c>
      <c r="AE35" s="394">
        <f t="shared" si="8"/>
        <v>0</v>
      </c>
      <c r="AF35" s="394">
        <f t="shared" ref="AF35:AG35" si="9">SUM(AF36:AF40)</f>
        <v>0</v>
      </c>
      <c r="AG35" s="394">
        <f t="shared" si="9"/>
        <v>0</v>
      </c>
      <c r="AH35" s="394">
        <f t="shared" ref="AH35:AK35" si="10">SUM(AH36:AH40)</f>
        <v>73080</v>
      </c>
      <c r="AI35" s="394">
        <f t="shared" si="10"/>
        <v>0</v>
      </c>
      <c r="AJ35" s="394">
        <f t="shared" si="10"/>
        <v>0</v>
      </c>
      <c r="AK35" s="394">
        <f t="shared" si="10"/>
        <v>0</v>
      </c>
      <c r="AL35" s="393"/>
      <c r="AM35" s="400">
        <f t="shared" si="4"/>
        <v>0</v>
      </c>
      <c r="AN35" s="396">
        <f>AN34*0.9*0.7</f>
        <v>460403.99999999994</v>
      </c>
      <c r="AO35" s="397"/>
      <c r="AP35" s="397"/>
      <c r="AQ35" s="397"/>
      <c r="AR35" s="397"/>
      <c r="AS35" s="397"/>
      <c r="AT35" s="397"/>
      <c r="AU35" s="397"/>
      <c r="AV35" s="397"/>
      <c r="AW35" s="397"/>
    </row>
    <row r="36" spans="1:49" s="390" customFormat="1" ht="70.5" customHeight="1">
      <c r="A36" s="398">
        <v>1</v>
      </c>
      <c r="B36" s="399" t="s">
        <v>426</v>
      </c>
      <c r="C36" s="388" t="s">
        <v>38</v>
      </c>
      <c r="D36" s="260" t="s">
        <v>229</v>
      </c>
      <c r="E36" s="260" t="s">
        <v>655</v>
      </c>
      <c r="F36" s="388" t="s">
        <v>1165</v>
      </c>
      <c r="G36" s="260" t="s">
        <v>656</v>
      </c>
      <c r="H36" s="339">
        <v>210000</v>
      </c>
      <c r="I36" s="339">
        <v>210000</v>
      </c>
      <c r="J36" s="339">
        <v>67752</v>
      </c>
      <c r="K36" s="339">
        <v>67752</v>
      </c>
      <c r="L36" s="339">
        <v>7829.1510600000001</v>
      </c>
      <c r="M36" s="339">
        <v>7829.1510600000001</v>
      </c>
      <c r="N36" s="339">
        <v>8772.3496639999994</v>
      </c>
      <c r="O36" s="339">
        <v>8772.3496639999994</v>
      </c>
      <c r="P36" s="339">
        <v>67752</v>
      </c>
      <c r="Q36" s="339">
        <v>67752</v>
      </c>
      <c r="R36" s="339">
        <v>122384</v>
      </c>
      <c r="S36" s="339">
        <v>122384</v>
      </c>
      <c r="T36" s="339">
        <v>166499</v>
      </c>
      <c r="U36" s="339"/>
      <c r="V36" s="339"/>
      <c r="W36" s="339"/>
      <c r="X36" s="339">
        <v>104384</v>
      </c>
      <c r="Y36" s="339"/>
      <c r="Z36" s="339"/>
      <c r="AA36" s="339"/>
      <c r="AB36" s="339">
        <v>62115</v>
      </c>
      <c r="AC36" s="339"/>
      <c r="AD36" s="339"/>
      <c r="AE36" s="339"/>
      <c r="AF36" s="339">
        <f t="shared" si="2"/>
        <v>0</v>
      </c>
      <c r="AG36" s="339">
        <f t="shared" si="3"/>
        <v>0</v>
      </c>
      <c r="AH36" s="339">
        <v>62115</v>
      </c>
      <c r="AI36" s="339"/>
      <c r="AJ36" s="339"/>
      <c r="AK36" s="339"/>
      <c r="AL36" s="388"/>
      <c r="AM36" s="400">
        <f>T36-X36-AB36</f>
        <v>0</v>
      </c>
      <c r="AN36" s="390">
        <f>AB52-AN35</f>
        <v>0</v>
      </c>
      <c r="AO36" s="391"/>
      <c r="AP36" s="391"/>
      <c r="AQ36" s="391">
        <v>1</v>
      </c>
      <c r="AR36" s="391"/>
      <c r="AS36" s="391"/>
      <c r="AT36" s="391"/>
      <c r="AU36" s="391"/>
      <c r="AV36" s="391">
        <v>1</v>
      </c>
      <c r="AW36" s="391" t="s">
        <v>1180</v>
      </c>
    </row>
    <row r="37" spans="1:49" s="396" customFormat="1" ht="80.849999999999994" customHeight="1">
      <c r="A37" s="398">
        <v>2</v>
      </c>
      <c r="B37" s="399" t="s">
        <v>1033</v>
      </c>
      <c r="C37" s="388" t="s">
        <v>39</v>
      </c>
      <c r="D37" s="260"/>
      <c r="E37" s="260"/>
      <c r="F37" s="388"/>
      <c r="G37" s="260" t="s">
        <v>1039</v>
      </c>
      <c r="H37" s="339">
        <v>12000</v>
      </c>
      <c r="I37" s="339">
        <v>12000</v>
      </c>
      <c r="J37" s="339"/>
      <c r="K37" s="339"/>
      <c r="L37" s="339"/>
      <c r="M37" s="339"/>
      <c r="N37" s="339"/>
      <c r="O37" s="339"/>
      <c r="P37" s="339"/>
      <c r="Q37" s="339"/>
      <c r="R37" s="339"/>
      <c r="S37" s="339"/>
      <c r="T37" s="339">
        <v>4000</v>
      </c>
      <c r="U37" s="339"/>
      <c r="V37" s="339"/>
      <c r="W37" s="339"/>
      <c r="X37" s="339">
        <v>1500</v>
      </c>
      <c r="Y37" s="339"/>
      <c r="Z37" s="339"/>
      <c r="AA37" s="339"/>
      <c r="AB37" s="339">
        <v>2500</v>
      </c>
      <c r="AC37" s="339"/>
      <c r="AD37" s="339"/>
      <c r="AE37" s="339"/>
      <c r="AF37" s="339">
        <f t="shared" si="2"/>
        <v>0</v>
      </c>
      <c r="AG37" s="339">
        <f t="shared" si="3"/>
        <v>0</v>
      </c>
      <c r="AH37" s="339">
        <v>2500</v>
      </c>
      <c r="AI37" s="339"/>
      <c r="AJ37" s="339"/>
      <c r="AK37" s="339"/>
      <c r="AL37" s="393"/>
      <c r="AM37" s="400">
        <f t="shared" si="4"/>
        <v>0</v>
      </c>
      <c r="AO37" s="397">
        <v>1</v>
      </c>
      <c r="AP37" s="397"/>
      <c r="AQ37" s="397"/>
      <c r="AR37" s="397"/>
      <c r="AS37" s="397"/>
      <c r="AT37" s="397"/>
      <c r="AU37" s="397"/>
      <c r="AV37" s="397"/>
      <c r="AW37" s="397"/>
    </row>
    <row r="38" spans="1:49" s="396" customFormat="1" ht="97.5" customHeight="1">
      <c r="A38" s="398">
        <v>3</v>
      </c>
      <c r="B38" s="399" t="s">
        <v>1034</v>
      </c>
      <c r="C38" s="388" t="s">
        <v>39</v>
      </c>
      <c r="D38" s="260"/>
      <c r="E38" s="260"/>
      <c r="F38" s="388"/>
      <c r="G38" s="260" t="s">
        <v>1040</v>
      </c>
      <c r="H38" s="339">
        <v>12000</v>
      </c>
      <c r="I38" s="339">
        <v>12000</v>
      </c>
      <c r="J38" s="339"/>
      <c r="K38" s="339"/>
      <c r="L38" s="339"/>
      <c r="M38" s="339"/>
      <c r="N38" s="339"/>
      <c r="O38" s="339"/>
      <c r="P38" s="339"/>
      <c r="Q38" s="339"/>
      <c r="R38" s="339"/>
      <c r="S38" s="339"/>
      <c r="T38" s="339">
        <v>4000</v>
      </c>
      <c r="U38" s="339"/>
      <c r="V38" s="339"/>
      <c r="W38" s="339"/>
      <c r="X38" s="339">
        <v>1500</v>
      </c>
      <c r="Y38" s="339"/>
      <c r="Z38" s="339"/>
      <c r="AA38" s="339"/>
      <c r="AB38" s="339">
        <v>2500</v>
      </c>
      <c r="AC38" s="339"/>
      <c r="AD38" s="339"/>
      <c r="AE38" s="339"/>
      <c r="AF38" s="339">
        <f t="shared" si="2"/>
        <v>0</v>
      </c>
      <c r="AG38" s="339">
        <f t="shared" si="3"/>
        <v>0</v>
      </c>
      <c r="AH38" s="339">
        <v>2500</v>
      </c>
      <c r="AI38" s="339"/>
      <c r="AJ38" s="339"/>
      <c r="AK38" s="339"/>
      <c r="AL38" s="393"/>
      <c r="AM38" s="400">
        <f t="shared" si="4"/>
        <v>0</v>
      </c>
      <c r="AO38" s="397">
        <v>1</v>
      </c>
      <c r="AP38" s="397"/>
      <c r="AQ38" s="397"/>
      <c r="AR38" s="397"/>
      <c r="AS38" s="397"/>
      <c r="AT38" s="397"/>
      <c r="AU38" s="397"/>
      <c r="AV38" s="397"/>
      <c r="AW38" s="397"/>
    </row>
    <row r="39" spans="1:49" s="396" customFormat="1" ht="105.75" customHeight="1">
      <c r="A39" s="398">
        <v>4</v>
      </c>
      <c r="B39" s="399" t="s">
        <v>1035</v>
      </c>
      <c r="C39" s="388" t="s">
        <v>39</v>
      </c>
      <c r="D39" s="260"/>
      <c r="E39" s="260"/>
      <c r="F39" s="388"/>
      <c r="G39" s="260" t="s">
        <v>1041</v>
      </c>
      <c r="H39" s="339">
        <v>14950</v>
      </c>
      <c r="I39" s="339">
        <v>14950</v>
      </c>
      <c r="J39" s="339"/>
      <c r="K39" s="339"/>
      <c r="L39" s="339"/>
      <c r="M39" s="339"/>
      <c r="N39" s="339"/>
      <c r="O39" s="339"/>
      <c r="P39" s="339"/>
      <c r="Q39" s="339"/>
      <c r="R39" s="339"/>
      <c r="S39" s="339"/>
      <c r="T39" s="339">
        <v>4965</v>
      </c>
      <c r="U39" s="339"/>
      <c r="V39" s="339"/>
      <c r="W39" s="339"/>
      <c r="X39" s="339">
        <v>1500</v>
      </c>
      <c r="Y39" s="339"/>
      <c r="Z39" s="339"/>
      <c r="AA39" s="339"/>
      <c r="AB39" s="339">
        <v>3465</v>
      </c>
      <c r="AC39" s="339"/>
      <c r="AD39" s="339"/>
      <c r="AE39" s="339"/>
      <c r="AF39" s="339">
        <f t="shared" si="2"/>
        <v>0</v>
      </c>
      <c r="AG39" s="339">
        <f t="shared" si="3"/>
        <v>0</v>
      </c>
      <c r="AH39" s="339">
        <v>3465</v>
      </c>
      <c r="AI39" s="339"/>
      <c r="AJ39" s="339"/>
      <c r="AK39" s="339"/>
      <c r="AL39" s="393"/>
      <c r="AM39" s="400">
        <f t="shared" si="4"/>
        <v>0</v>
      </c>
      <c r="AO39" s="397">
        <v>1</v>
      </c>
      <c r="AP39" s="397"/>
      <c r="AQ39" s="397"/>
      <c r="AR39" s="397"/>
      <c r="AS39" s="397"/>
      <c r="AT39" s="397"/>
      <c r="AU39" s="397"/>
      <c r="AV39" s="397"/>
      <c r="AW39" s="397"/>
    </row>
    <row r="40" spans="1:49" s="396" customFormat="1" ht="111" customHeight="1">
      <c r="A40" s="398">
        <v>5</v>
      </c>
      <c r="B40" s="399" t="s">
        <v>1036</v>
      </c>
      <c r="C40" s="388" t="s">
        <v>39</v>
      </c>
      <c r="D40" s="260"/>
      <c r="E40" s="260"/>
      <c r="F40" s="388"/>
      <c r="G40" s="260" t="s">
        <v>1042</v>
      </c>
      <c r="H40" s="339">
        <v>12000</v>
      </c>
      <c r="I40" s="339">
        <v>12000</v>
      </c>
      <c r="J40" s="339"/>
      <c r="K40" s="339"/>
      <c r="L40" s="339"/>
      <c r="M40" s="339"/>
      <c r="N40" s="339"/>
      <c r="O40" s="339"/>
      <c r="P40" s="339"/>
      <c r="Q40" s="339"/>
      <c r="R40" s="339"/>
      <c r="S40" s="339"/>
      <c r="T40" s="339">
        <v>4000</v>
      </c>
      <c r="U40" s="339"/>
      <c r="V40" s="339"/>
      <c r="W40" s="339"/>
      <c r="X40" s="339">
        <v>1500</v>
      </c>
      <c r="Y40" s="339"/>
      <c r="Z40" s="339"/>
      <c r="AA40" s="339"/>
      <c r="AB40" s="339">
        <v>2500</v>
      </c>
      <c r="AC40" s="339"/>
      <c r="AD40" s="339"/>
      <c r="AE40" s="339"/>
      <c r="AF40" s="339">
        <f t="shared" si="2"/>
        <v>0</v>
      </c>
      <c r="AG40" s="339">
        <f t="shared" si="3"/>
        <v>0</v>
      </c>
      <c r="AH40" s="339">
        <v>2500</v>
      </c>
      <c r="AI40" s="339"/>
      <c r="AJ40" s="339"/>
      <c r="AK40" s="339"/>
      <c r="AL40" s="393"/>
      <c r="AM40" s="400">
        <f t="shared" si="4"/>
        <v>0</v>
      </c>
      <c r="AO40" s="397">
        <v>1</v>
      </c>
      <c r="AP40" s="397"/>
      <c r="AQ40" s="397"/>
      <c r="AR40" s="397"/>
      <c r="AS40" s="397"/>
      <c r="AT40" s="397"/>
      <c r="AU40" s="397"/>
      <c r="AV40" s="397"/>
      <c r="AW40" s="397"/>
    </row>
    <row r="41" spans="1:49" s="396" customFormat="1" ht="48.75" customHeight="1">
      <c r="A41" s="269" t="s">
        <v>34</v>
      </c>
      <c r="B41" s="270" t="s">
        <v>398</v>
      </c>
      <c r="C41" s="393"/>
      <c r="D41" s="261"/>
      <c r="E41" s="261"/>
      <c r="F41" s="393" t="s">
        <v>975</v>
      </c>
      <c r="G41" s="261"/>
      <c r="H41" s="394">
        <f t="shared" ref="H41:AG41" si="11">H42+H43+H44+H45+H46+H47+H48+H49+H50+H51</f>
        <v>0</v>
      </c>
      <c r="I41" s="394">
        <f t="shared" si="11"/>
        <v>0</v>
      </c>
      <c r="J41" s="394">
        <f t="shared" si="11"/>
        <v>193447.17271508649</v>
      </c>
      <c r="K41" s="394">
        <f t="shared" si="11"/>
        <v>193447.17271508649</v>
      </c>
      <c r="L41" s="394">
        <f t="shared" si="11"/>
        <v>92000.563394000012</v>
      </c>
      <c r="M41" s="394">
        <f t="shared" si="11"/>
        <v>92000.563394000012</v>
      </c>
      <c r="N41" s="394">
        <f t="shared" si="11"/>
        <v>107260.80673499999</v>
      </c>
      <c r="O41" s="394">
        <f t="shared" si="11"/>
        <v>107260.80673499999</v>
      </c>
      <c r="P41" s="394">
        <f t="shared" si="11"/>
        <v>193447.17271508649</v>
      </c>
      <c r="Q41" s="394">
        <f t="shared" si="11"/>
        <v>193447.17271508649</v>
      </c>
      <c r="R41" s="394">
        <f t="shared" si="11"/>
        <v>739219.50271508633</v>
      </c>
      <c r="S41" s="394">
        <f t="shared" si="11"/>
        <v>739219.50271508633</v>
      </c>
      <c r="T41" s="394">
        <f t="shared" si="11"/>
        <v>936535.50271508645</v>
      </c>
      <c r="U41" s="394">
        <f t="shared" si="11"/>
        <v>0</v>
      </c>
      <c r="V41" s="394">
        <f t="shared" si="11"/>
        <v>0</v>
      </c>
      <c r="W41" s="394">
        <f t="shared" si="11"/>
        <v>0</v>
      </c>
      <c r="X41" s="394">
        <f t="shared" si="11"/>
        <v>739219.50271508633</v>
      </c>
      <c r="Y41" s="394">
        <f t="shared" si="11"/>
        <v>0</v>
      </c>
      <c r="Z41" s="394">
        <f t="shared" si="11"/>
        <v>0</v>
      </c>
      <c r="AA41" s="394">
        <f t="shared" si="11"/>
        <v>0</v>
      </c>
      <c r="AB41" s="394">
        <f t="shared" si="11"/>
        <v>197315.99999999997</v>
      </c>
      <c r="AC41" s="394">
        <f t="shared" si="11"/>
        <v>0</v>
      </c>
      <c r="AD41" s="394">
        <f t="shared" si="11"/>
        <v>0</v>
      </c>
      <c r="AE41" s="394">
        <f t="shared" si="11"/>
        <v>0</v>
      </c>
      <c r="AF41" s="394">
        <f t="shared" si="11"/>
        <v>0</v>
      </c>
      <c r="AG41" s="394">
        <f t="shared" si="11"/>
        <v>0</v>
      </c>
      <c r="AH41" s="394">
        <f t="shared" ref="AH41:AK41" si="12">AH42+AH43+AH44+AH45+AH46+AH47+AH48+AH49+AH50+AH51</f>
        <v>197315.99999999997</v>
      </c>
      <c r="AI41" s="394">
        <f t="shared" si="12"/>
        <v>0</v>
      </c>
      <c r="AJ41" s="394">
        <f t="shared" si="12"/>
        <v>0</v>
      </c>
      <c r="AK41" s="394">
        <f t="shared" si="12"/>
        <v>0</v>
      </c>
      <c r="AL41" s="393"/>
      <c r="AM41" s="400">
        <f t="shared" si="4"/>
        <v>0</v>
      </c>
      <c r="AO41" s="397"/>
      <c r="AP41" s="397"/>
      <c r="AQ41" s="397"/>
      <c r="AR41" s="397"/>
      <c r="AS41" s="397"/>
      <c r="AT41" s="397"/>
      <c r="AU41" s="397"/>
      <c r="AV41" s="397"/>
      <c r="AW41" s="397"/>
    </row>
    <row r="42" spans="1:49" s="390" customFormat="1" ht="30.75" customHeight="1">
      <c r="A42" s="402">
        <v>1</v>
      </c>
      <c r="B42" s="399" t="s">
        <v>399</v>
      </c>
      <c r="C42" s="388"/>
      <c r="D42" s="294"/>
      <c r="E42" s="294"/>
      <c r="F42" s="388" t="s">
        <v>975</v>
      </c>
      <c r="G42" s="260"/>
      <c r="H42" s="185"/>
      <c r="I42" s="185"/>
      <c r="J42" s="186">
        <v>20512</v>
      </c>
      <c r="K42" s="186">
        <v>20512</v>
      </c>
      <c r="L42" s="403">
        <v>16734.080245000001</v>
      </c>
      <c r="M42" s="403">
        <v>16734.080245000001</v>
      </c>
      <c r="N42" s="403">
        <v>18014.659229000001</v>
      </c>
      <c r="O42" s="403">
        <v>18014.659229000001</v>
      </c>
      <c r="P42" s="339">
        <v>20512</v>
      </c>
      <c r="Q42" s="339">
        <v>20512</v>
      </c>
      <c r="R42" s="339">
        <v>78382.053409569984</v>
      </c>
      <c r="S42" s="339">
        <v>78382.053409569984</v>
      </c>
      <c r="T42" s="339">
        <v>99304.124447071488</v>
      </c>
      <c r="U42" s="339"/>
      <c r="V42" s="339"/>
      <c r="W42" s="339"/>
      <c r="X42" s="339">
        <v>78382.053409569984</v>
      </c>
      <c r="Y42" s="339"/>
      <c r="Z42" s="339"/>
      <c r="AA42" s="339"/>
      <c r="AB42" s="339">
        <v>20922.071037501501</v>
      </c>
      <c r="AC42" s="339"/>
      <c r="AD42" s="339"/>
      <c r="AE42" s="339"/>
      <c r="AF42" s="339">
        <f t="shared" si="2"/>
        <v>0</v>
      </c>
      <c r="AG42" s="339">
        <f t="shared" si="3"/>
        <v>0</v>
      </c>
      <c r="AH42" s="339">
        <v>20922.071037501501</v>
      </c>
      <c r="AI42" s="339"/>
      <c r="AJ42" s="339"/>
      <c r="AK42" s="339"/>
      <c r="AL42" s="388"/>
      <c r="AM42" s="400">
        <f t="shared" si="4"/>
        <v>0</v>
      </c>
      <c r="AO42" s="391"/>
      <c r="AP42" s="391"/>
      <c r="AQ42" s="391"/>
      <c r="AR42" s="391"/>
      <c r="AS42" s="391"/>
      <c r="AT42" s="391"/>
      <c r="AU42" s="391"/>
      <c r="AV42" s="391"/>
      <c r="AW42" s="391"/>
    </row>
    <row r="43" spans="1:49" s="390" customFormat="1" ht="30.75" customHeight="1">
      <c r="A43" s="402">
        <v>2</v>
      </c>
      <c r="B43" s="399" t="s">
        <v>400</v>
      </c>
      <c r="C43" s="388"/>
      <c r="D43" s="294"/>
      <c r="E43" s="294"/>
      <c r="F43" s="388" t="s">
        <v>975</v>
      </c>
      <c r="G43" s="294"/>
      <c r="H43" s="185"/>
      <c r="I43" s="185"/>
      <c r="J43" s="186">
        <v>24961</v>
      </c>
      <c r="K43" s="186">
        <v>24961</v>
      </c>
      <c r="L43" s="403">
        <v>4894.1976640000003</v>
      </c>
      <c r="M43" s="339">
        <v>4894.1976640000003</v>
      </c>
      <c r="N43" s="339">
        <v>6335.8797269999995</v>
      </c>
      <c r="O43" s="339">
        <v>6335.8797269999995</v>
      </c>
      <c r="P43" s="339">
        <v>24961</v>
      </c>
      <c r="Q43" s="339">
        <v>24961</v>
      </c>
      <c r="R43" s="339">
        <v>95383.504068178183</v>
      </c>
      <c r="S43" s="339">
        <v>95383.504068178183</v>
      </c>
      <c r="T43" s="339">
        <v>120843.72996991388</v>
      </c>
      <c r="U43" s="339"/>
      <c r="V43" s="339"/>
      <c r="W43" s="339"/>
      <c r="X43" s="339">
        <v>95383.504068178183</v>
      </c>
      <c r="Y43" s="339"/>
      <c r="Z43" s="339"/>
      <c r="AA43" s="339"/>
      <c r="AB43" s="339">
        <v>25460.225901735703</v>
      </c>
      <c r="AC43" s="339"/>
      <c r="AD43" s="339"/>
      <c r="AE43" s="339"/>
      <c r="AF43" s="339">
        <f t="shared" si="2"/>
        <v>0</v>
      </c>
      <c r="AG43" s="339">
        <f t="shared" si="3"/>
        <v>0</v>
      </c>
      <c r="AH43" s="339">
        <v>25460.225901735703</v>
      </c>
      <c r="AI43" s="339"/>
      <c r="AJ43" s="339"/>
      <c r="AK43" s="339"/>
      <c r="AL43" s="388"/>
      <c r="AM43" s="400">
        <f t="shared" si="4"/>
        <v>0</v>
      </c>
      <c r="AO43" s="391"/>
      <c r="AP43" s="391"/>
      <c r="AQ43" s="391"/>
      <c r="AR43" s="391"/>
      <c r="AS43" s="391"/>
      <c r="AT43" s="391"/>
      <c r="AU43" s="391"/>
      <c r="AV43" s="391"/>
      <c r="AW43" s="391"/>
    </row>
    <row r="44" spans="1:49" s="390" customFormat="1" ht="30.75" customHeight="1">
      <c r="A44" s="402">
        <v>3</v>
      </c>
      <c r="B44" s="399" t="s">
        <v>226</v>
      </c>
      <c r="C44" s="388"/>
      <c r="D44" s="294"/>
      <c r="E44" s="294"/>
      <c r="F44" s="388" t="s">
        <v>975</v>
      </c>
      <c r="G44" s="260"/>
      <c r="H44" s="185"/>
      <c r="I44" s="185"/>
      <c r="J44" s="186">
        <v>24045</v>
      </c>
      <c r="K44" s="186">
        <v>24045</v>
      </c>
      <c r="L44" s="403">
        <v>9546.3119999999999</v>
      </c>
      <c r="M44" s="403">
        <v>9546.3119999999999</v>
      </c>
      <c r="N44" s="339">
        <v>9546.3119999999999</v>
      </c>
      <c r="O44" s="339">
        <v>9546.3119999999999</v>
      </c>
      <c r="P44" s="339">
        <v>24045</v>
      </c>
      <c r="Q44" s="339">
        <v>24045</v>
      </c>
      <c r="R44" s="339">
        <v>91882.315976477577</v>
      </c>
      <c r="S44" s="339">
        <v>91882.315976477577</v>
      </c>
      <c r="T44" s="339">
        <v>116407.90495093996</v>
      </c>
      <c r="U44" s="339"/>
      <c r="V44" s="339"/>
      <c r="W44" s="339"/>
      <c r="X44" s="339">
        <v>91882.315976477577</v>
      </c>
      <c r="Y44" s="339"/>
      <c r="Z44" s="339"/>
      <c r="AA44" s="339"/>
      <c r="AB44" s="339">
        <v>24525.588974462389</v>
      </c>
      <c r="AC44" s="339"/>
      <c r="AD44" s="339"/>
      <c r="AE44" s="339"/>
      <c r="AF44" s="339">
        <f t="shared" si="2"/>
        <v>0</v>
      </c>
      <c r="AG44" s="339">
        <f t="shared" si="3"/>
        <v>0</v>
      </c>
      <c r="AH44" s="339">
        <v>24525.588974462389</v>
      </c>
      <c r="AI44" s="339"/>
      <c r="AJ44" s="339"/>
      <c r="AK44" s="339"/>
      <c r="AL44" s="388"/>
      <c r="AM44" s="400">
        <f t="shared" si="4"/>
        <v>0</v>
      </c>
      <c r="AO44" s="391"/>
      <c r="AP44" s="391"/>
      <c r="AQ44" s="391"/>
      <c r="AR44" s="391"/>
      <c r="AS44" s="391"/>
      <c r="AT44" s="391"/>
      <c r="AU44" s="391"/>
      <c r="AV44" s="391"/>
      <c r="AW44" s="391"/>
    </row>
    <row r="45" spans="1:49" s="390" customFormat="1" ht="30.75" customHeight="1">
      <c r="A45" s="402">
        <v>4</v>
      </c>
      <c r="B45" s="399" t="s">
        <v>243</v>
      </c>
      <c r="C45" s="388"/>
      <c r="D45" s="294"/>
      <c r="E45" s="294"/>
      <c r="F45" s="388" t="s">
        <v>975</v>
      </c>
      <c r="G45" s="260"/>
      <c r="H45" s="185"/>
      <c r="I45" s="185"/>
      <c r="J45" s="186">
        <v>21042</v>
      </c>
      <c r="K45" s="186">
        <v>21042</v>
      </c>
      <c r="L45" s="403">
        <v>8961.8175310000006</v>
      </c>
      <c r="M45" s="403">
        <v>8961.8175310000006</v>
      </c>
      <c r="N45" s="339">
        <v>10666.047945</v>
      </c>
      <c r="O45" s="339">
        <v>10666.047945</v>
      </c>
      <c r="P45" s="339">
        <v>21042</v>
      </c>
      <c r="Q45" s="339">
        <v>21042</v>
      </c>
      <c r="R45" s="339">
        <v>80409.105700970307</v>
      </c>
      <c r="S45" s="339">
        <v>80409.105700970307</v>
      </c>
      <c r="T45" s="339">
        <v>101872.41408909005</v>
      </c>
      <c r="U45" s="339"/>
      <c r="V45" s="339"/>
      <c r="W45" s="339"/>
      <c r="X45" s="339">
        <v>80409.105700970307</v>
      </c>
      <c r="Y45" s="339"/>
      <c r="Z45" s="339"/>
      <c r="AA45" s="339"/>
      <c r="AB45" s="339">
        <v>21463.308388119745</v>
      </c>
      <c r="AC45" s="339"/>
      <c r="AD45" s="339"/>
      <c r="AE45" s="339"/>
      <c r="AF45" s="339">
        <f t="shared" si="2"/>
        <v>0</v>
      </c>
      <c r="AG45" s="339">
        <f t="shared" si="3"/>
        <v>0</v>
      </c>
      <c r="AH45" s="339">
        <v>21463.308388119745</v>
      </c>
      <c r="AI45" s="339"/>
      <c r="AJ45" s="339"/>
      <c r="AK45" s="339"/>
      <c r="AL45" s="388"/>
      <c r="AM45" s="400">
        <f t="shared" si="4"/>
        <v>0</v>
      </c>
      <c r="AO45" s="391"/>
      <c r="AP45" s="391"/>
      <c r="AQ45" s="391"/>
      <c r="AR45" s="391"/>
      <c r="AS45" s="391"/>
      <c r="AT45" s="391"/>
      <c r="AU45" s="391"/>
      <c r="AV45" s="391"/>
      <c r="AW45" s="391"/>
    </row>
    <row r="46" spans="1:49" s="390" customFormat="1" ht="30.75" customHeight="1">
      <c r="A46" s="402">
        <v>5</v>
      </c>
      <c r="B46" s="399" t="s">
        <v>401</v>
      </c>
      <c r="C46" s="388"/>
      <c r="D46" s="294"/>
      <c r="E46" s="294"/>
      <c r="F46" s="388" t="s">
        <v>975</v>
      </c>
      <c r="G46" s="260"/>
      <c r="H46" s="185"/>
      <c r="I46" s="185"/>
      <c r="J46" s="186">
        <v>15828</v>
      </c>
      <c r="K46" s="186">
        <v>15828</v>
      </c>
      <c r="L46" s="403">
        <v>8630.0139999999992</v>
      </c>
      <c r="M46" s="403">
        <v>8630.0139999999992</v>
      </c>
      <c r="N46" s="339">
        <v>11782.857</v>
      </c>
      <c r="O46" s="339">
        <v>11782.857</v>
      </c>
      <c r="P46" s="339">
        <v>15828</v>
      </c>
      <c r="Q46" s="339">
        <v>15828</v>
      </c>
      <c r="R46" s="339">
        <v>60483.701159340519</v>
      </c>
      <c r="S46" s="339">
        <v>60483.701159340519</v>
      </c>
      <c r="T46" s="339">
        <v>76628.316497308333</v>
      </c>
      <c r="U46" s="339"/>
      <c r="V46" s="339"/>
      <c r="W46" s="339"/>
      <c r="X46" s="339">
        <v>60483.701159340519</v>
      </c>
      <c r="Y46" s="339"/>
      <c r="Z46" s="339"/>
      <c r="AA46" s="339"/>
      <c r="AB46" s="339">
        <v>16144.61533796782</v>
      </c>
      <c r="AC46" s="339"/>
      <c r="AD46" s="339"/>
      <c r="AE46" s="339"/>
      <c r="AF46" s="339">
        <f t="shared" si="2"/>
        <v>0</v>
      </c>
      <c r="AG46" s="339">
        <f t="shared" si="3"/>
        <v>0</v>
      </c>
      <c r="AH46" s="339">
        <v>16144.61533796782</v>
      </c>
      <c r="AI46" s="339"/>
      <c r="AJ46" s="339"/>
      <c r="AK46" s="339"/>
      <c r="AL46" s="388"/>
      <c r="AM46" s="400">
        <f t="shared" si="4"/>
        <v>0</v>
      </c>
      <c r="AO46" s="391"/>
      <c r="AP46" s="391"/>
      <c r="AQ46" s="391"/>
      <c r="AR46" s="391"/>
      <c r="AS46" s="391"/>
      <c r="AT46" s="391"/>
      <c r="AU46" s="391"/>
      <c r="AV46" s="391"/>
      <c r="AW46" s="391"/>
    </row>
    <row r="47" spans="1:49" s="390" customFormat="1" ht="30.75" customHeight="1">
      <c r="A47" s="402">
        <v>6</v>
      </c>
      <c r="B47" s="399" t="s">
        <v>402</v>
      </c>
      <c r="C47" s="388"/>
      <c r="D47" s="294"/>
      <c r="E47" s="294"/>
      <c r="F47" s="388" t="s">
        <v>975</v>
      </c>
      <c r="G47" s="260"/>
      <c r="H47" s="185"/>
      <c r="I47" s="185"/>
      <c r="J47" s="186">
        <v>20554</v>
      </c>
      <c r="K47" s="186">
        <v>20554</v>
      </c>
      <c r="L47" s="403">
        <v>8486.2465209999991</v>
      </c>
      <c r="M47" s="403">
        <v>8486.2465209999991</v>
      </c>
      <c r="N47" s="339">
        <v>11069.438926999999</v>
      </c>
      <c r="O47" s="339">
        <v>11069.438926999999</v>
      </c>
      <c r="P47" s="339">
        <v>20554</v>
      </c>
      <c r="Q47" s="339">
        <v>20554</v>
      </c>
      <c r="R47" s="339">
        <v>78542.835536228871</v>
      </c>
      <c r="S47" s="339">
        <v>78542.835536228871</v>
      </c>
      <c r="T47" s="339">
        <v>99507.850513566649</v>
      </c>
      <c r="U47" s="339"/>
      <c r="V47" s="339"/>
      <c r="W47" s="339"/>
      <c r="X47" s="339">
        <v>78542.835536228871</v>
      </c>
      <c r="Y47" s="339"/>
      <c r="Z47" s="339"/>
      <c r="AA47" s="339"/>
      <c r="AB47" s="339">
        <v>20965.014977337778</v>
      </c>
      <c r="AC47" s="339"/>
      <c r="AD47" s="339"/>
      <c r="AE47" s="339"/>
      <c r="AF47" s="339">
        <f t="shared" si="2"/>
        <v>0</v>
      </c>
      <c r="AG47" s="339">
        <f t="shared" si="3"/>
        <v>0</v>
      </c>
      <c r="AH47" s="339">
        <v>20965.014977337778</v>
      </c>
      <c r="AI47" s="339"/>
      <c r="AJ47" s="339"/>
      <c r="AK47" s="339"/>
      <c r="AL47" s="388"/>
      <c r="AM47" s="400">
        <f t="shared" si="4"/>
        <v>0</v>
      </c>
      <c r="AO47" s="391"/>
      <c r="AP47" s="391"/>
      <c r="AQ47" s="391"/>
      <c r="AR47" s="391"/>
      <c r="AS47" s="391"/>
      <c r="AT47" s="391"/>
      <c r="AU47" s="391"/>
      <c r="AV47" s="391"/>
      <c r="AW47" s="391"/>
    </row>
    <row r="48" spans="1:49" s="390" customFormat="1" ht="30.75" customHeight="1">
      <c r="A48" s="402">
        <v>7</v>
      </c>
      <c r="B48" s="399" t="s">
        <v>403</v>
      </c>
      <c r="C48" s="388"/>
      <c r="D48" s="294"/>
      <c r="E48" s="294"/>
      <c r="F48" s="388" t="s">
        <v>975</v>
      </c>
      <c r="G48" s="260"/>
      <c r="H48" s="185"/>
      <c r="I48" s="185"/>
      <c r="J48" s="186">
        <v>19776</v>
      </c>
      <c r="K48" s="186">
        <v>19776</v>
      </c>
      <c r="L48" s="403">
        <v>17035.746800000001</v>
      </c>
      <c r="M48" s="403">
        <v>17035.746800000001</v>
      </c>
      <c r="N48" s="403">
        <v>18117.410800000001</v>
      </c>
      <c r="O48" s="403">
        <v>18117.410800000001</v>
      </c>
      <c r="P48" s="339">
        <v>19776</v>
      </c>
      <c r="Q48" s="339">
        <v>19776</v>
      </c>
      <c r="R48" s="339">
        <v>75570.081812843448</v>
      </c>
      <c r="S48" s="339">
        <v>75570.081812843448</v>
      </c>
      <c r="T48" s="339">
        <v>95741.615695814427</v>
      </c>
      <c r="U48" s="339"/>
      <c r="V48" s="339"/>
      <c r="W48" s="339"/>
      <c r="X48" s="339">
        <v>75570.081812843448</v>
      </c>
      <c r="Y48" s="339"/>
      <c r="Z48" s="339"/>
      <c r="AA48" s="339"/>
      <c r="AB48" s="339">
        <v>20171.533882970976</v>
      </c>
      <c r="AC48" s="339"/>
      <c r="AD48" s="339"/>
      <c r="AE48" s="339"/>
      <c r="AF48" s="339">
        <f t="shared" si="2"/>
        <v>0</v>
      </c>
      <c r="AG48" s="339">
        <f t="shared" si="3"/>
        <v>0</v>
      </c>
      <c r="AH48" s="339">
        <v>20171.533882970976</v>
      </c>
      <c r="AI48" s="339"/>
      <c r="AJ48" s="339"/>
      <c r="AK48" s="339"/>
      <c r="AL48" s="388"/>
      <c r="AM48" s="400">
        <f t="shared" si="4"/>
        <v>0</v>
      </c>
      <c r="AO48" s="391"/>
      <c r="AP48" s="391"/>
      <c r="AQ48" s="391"/>
      <c r="AR48" s="391"/>
      <c r="AS48" s="391"/>
      <c r="AT48" s="391"/>
      <c r="AU48" s="391"/>
      <c r="AV48" s="391"/>
      <c r="AW48" s="391"/>
    </row>
    <row r="49" spans="1:49" s="390" customFormat="1" ht="30.75" customHeight="1">
      <c r="A49" s="402">
        <v>8</v>
      </c>
      <c r="B49" s="399" t="s">
        <v>404</v>
      </c>
      <c r="C49" s="388"/>
      <c r="D49" s="294"/>
      <c r="E49" s="294"/>
      <c r="F49" s="388" t="s">
        <v>975</v>
      </c>
      <c r="G49" s="260"/>
      <c r="H49" s="185"/>
      <c r="I49" s="185"/>
      <c r="J49" s="186">
        <v>18009.172715086479</v>
      </c>
      <c r="K49" s="186">
        <v>18009.172715086479</v>
      </c>
      <c r="L49" s="403">
        <v>3761.8030600000002</v>
      </c>
      <c r="M49" s="403">
        <v>3761.8030600000002</v>
      </c>
      <c r="N49" s="339">
        <v>5103.7010600000003</v>
      </c>
      <c r="O49" s="339">
        <v>5103.7010600000003</v>
      </c>
      <c r="P49" s="339">
        <v>18009.172715086479</v>
      </c>
      <c r="Q49" s="339">
        <v>18009.172715086479</v>
      </c>
      <c r="R49" s="339">
        <v>68818.480453563519</v>
      </c>
      <c r="S49" s="339">
        <v>68818.480453563519</v>
      </c>
      <c r="T49" s="339">
        <v>87187.842208721268</v>
      </c>
      <c r="U49" s="339"/>
      <c r="V49" s="339"/>
      <c r="W49" s="339"/>
      <c r="X49" s="339">
        <v>68818.480453563519</v>
      </c>
      <c r="Y49" s="339"/>
      <c r="Z49" s="339"/>
      <c r="AA49" s="339"/>
      <c r="AB49" s="339">
        <v>18369.361755157752</v>
      </c>
      <c r="AC49" s="339"/>
      <c r="AD49" s="339"/>
      <c r="AE49" s="339"/>
      <c r="AF49" s="339">
        <f t="shared" si="2"/>
        <v>0</v>
      </c>
      <c r="AG49" s="339">
        <f t="shared" si="3"/>
        <v>0</v>
      </c>
      <c r="AH49" s="339">
        <v>18369.361755157752</v>
      </c>
      <c r="AI49" s="339"/>
      <c r="AJ49" s="339"/>
      <c r="AK49" s="339"/>
      <c r="AL49" s="388"/>
      <c r="AM49" s="400">
        <f t="shared" si="4"/>
        <v>0</v>
      </c>
      <c r="AO49" s="391"/>
      <c r="AP49" s="391"/>
      <c r="AQ49" s="391"/>
      <c r="AR49" s="391"/>
      <c r="AS49" s="391"/>
      <c r="AT49" s="391"/>
      <c r="AU49" s="391"/>
      <c r="AV49" s="391"/>
      <c r="AW49" s="391"/>
    </row>
    <row r="50" spans="1:49" s="390" customFormat="1" ht="30.75" customHeight="1">
      <c r="A50" s="402">
        <v>9</v>
      </c>
      <c r="B50" s="399" t="s">
        <v>225</v>
      </c>
      <c r="C50" s="388"/>
      <c r="D50" s="294"/>
      <c r="E50" s="294"/>
      <c r="F50" s="388" t="s">
        <v>975</v>
      </c>
      <c r="G50" s="260"/>
      <c r="H50" s="185"/>
      <c r="I50" s="185"/>
      <c r="J50" s="186">
        <v>22146</v>
      </c>
      <c r="K50" s="186">
        <v>22146</v>
      </c>
      <c r="L50" s="403">
        <v>10237.419626999999</v>
      </c>
      <c r="M50" s="339">
        <v>10237.419626999999</v>
      </c>
      <c r="N50" s="339">
        <v>10967.498847000001</v>
      </c>
      <c r="O50" s="339">
        <v>10967.498847000001</v>
      </c>
      <c r="P50" s="339">
        <v>22146</v>
      </c>
      <c r="Q50" s="339">
        <v>22146</v>
      </c>
      <c r="R50" s="339">
        <v>84627.565585149554</v>
      </c>
      <c r="S50" s="339">
        <v>84627.565585149554</v>
      </c>
      <c r="T50" s="339">
        <v>107216.8613726428</v>
      </c>
      <c r="U50" s="339"/>
      <c r="V50" s="339"/>
      <c r="W50" s="339"/>
      <c r="X50" s="339">
        <v>84627.565585149554</v>
      </c>
      <c r="Y50" s="339"/>
      <c r="Z50" s="339"/>
      <c r="AA50" s="339"/>
      <c r="AB50" s="339">
        <v>22589.29578749324</v>
      </c>
      <c r="AC50" s="339"/>
      <c r="AD50" s="339"/>
      <c r="AE50" s="339"/>
      <c r="AF50" s="339">
        <f t="shared" si="2"/>
        <v>0</v>
      </c>
      <c r="AG50" s="339">
        <f t="shared" si="3"/>
        <v>0</v>
      </c>
      <c r="AH50" s="339">
        <v>22589.29578749324</v>
      </c>
      <c r="AI50" s="339"/>
      <c r="AJ50" s="339"/>
      <c r="AK50" s="339"/>
      <c r="AL50" s="388"/>
      <c r="AM50" s="400">
        <f t="shared" si="4"/>
        <v>0</v>
      </c>
      <c r="AO50" s="391"/>
      <c r="AP50" s="391"/>
      <c r="AQ50" s="391"/>
      <c r="AR50" s="391"/>
      <c r="AS50" s="391"/>
      <c r="AT50" s="391"/>
      <c r="AU50" s="391"/>
      <c r="AV50" s="391"/>
      <c r="AW50" s="391"/>
    </row>
    <row r="51" spans="1:49" s="390" customFormat="1" ht="30.75" customHeight="1">
      <c r="A51" s="402">
        <v>10</v>
      </c>
      <c r="B51" s="399" t="s">
        <v>405</v>
      </c>
      <c r="C51" s="388"/>
      <c r="D51" s="294"/>
      <c r="E51" s="294"/>
      <c r="F51" s="388" t="s">
        <v>975</v>
      </c>
      <c r="G51" s="260"/>
      <c r="H51" s="185"/>
      <c r="I51" s="185"/>
      <c r="J51" s="186">
        <v>6574</v>
      </c>
      <c r="K51" s="186">
        <v>6574</v>
      </c>
      <c r="L51" s="403">
        <v>3712.9259459999998</v>
      </c>
      <c r="M51" s="339">
        <v>3712.9259459999998</v>
      </c>
      <c r="N51" s="339">
        <v>5657.0011999999997</v>
      </c>
      <c r="O51" s="339">
        <v>5657.0011999999997</v>
      </c>
      <c r="P51" s="339">
        <v>6574</v>
      </c>
      <c r="Q51" s="339">
        <v>6574</v>
      </c>
      <c r="R51" s="339">
        <v>25119.859012764471</v>
      </c>
      <c r="S51" s="339">
        <v>25119.859012764471</v>
      </c>
      <c r="T51" s="339">
        <v>31824.842970017555</v>
      </c>
      <c r="U51" s="339"/>
      <c r="V51" s="339"/>
      <c r="W51" s="339"/>
      <c r="X51" s="339">
        <v>25119.859012764471</v>
      </c>
      <c r="Y51" s="339"/>
      <c r="Z51" s="339"/>
      <c r="AA51" s="339"/>
      <c r="AB51" s="339">
        <v>6704.9839572530818</v>
      </c>
      <c r="AC51" s="339"/>
      <c r="AD51" s="339"/>
      <c r="AE51" s="339"/>
      <c r="AF51" s="339">
        <f t="shared" si="2"/>
        <v>0</v>
      </c>
      <c r="AG51" s="339">
        <f t="shared" si="3"/>
        <v>0</v>
      </c>
      <c r="AH51" s="339">
        <v>6704.9839572530818</v>
      </c>
      <c r="AI51" s="339"/>
      <c r="AJ51" s="339"/>
      <c r="AK51" s="339"/>
      <c r="AL51" s="388"/>
      <c r="AM51" s="400">
        <f t="shared" si="4"/>
        <v>0</v>
      </c>
      <c r="AO51" s="391"/>
      <c r="AP51" s="391"/>
      <c r="AQ51" s="391"/>
      <c r="AR51" s="391"/>
      <c r="AS51" s="391"/>
      <c r="AT51" s="391"/>
      <c r="AU51" s="391"/>
      <c r="AV51" s="391"/>
      <c r="AW51" s="391"/>
    </row>
    <row r="52" spans="1:49" s="396" customFormat="1" ht="27" customHeight="1">
      <c r="A52" s="269" t="s">
        <v>66</v>
      </c>
      <c r="B52" s="270" t="s">
        <v>406</v>
      </c>
      <c r="C52" s="393"/>
      <c r="D52" s="301"/>
      <c r="E52" s="301"/>
      <c r="F52" s="393" t="s">
        <v>975</v>
      </c>
      <c r="G52" s="261"/>
      <c r="H52" s="394">
        <f t="shared" ref="H52:AG52" si="13">H53+H56+H62+H67</f>
        <v>7581944.4000000004</v>
      </c>
      <c r="I52" s="394">
        <f t="shared" si="13"/>
        <v>2575175.9</v>
      </c>
      <c r="J52" s="394">
        <f t="shared" si="13"/>
        <v>369789</v>
      </c>
      <c r="K52" s="394">
        <f t="shared" si="13"/>
        <v>369789</v>
      </c>
      <c r="L52" s="394">
        <f t="shared" si="13"/>
        <v>141688.74655100002</v>
      </c>
      <c r="M52" s="394">
        <f t="shared" si="13"/>
        <v>141688.74655100002</v>
      </c>
      <c r="N52" s="394">
        <f t="shared" si="13"/>
        <v>176738.315645</v>
      </c>
      <c r="O52" s="394">
        <f t="shared" si="13"/>
        <v>176738.315645</v>
      </c>
      <c r="P52" s="394">
        <f t="shared" si="13"/>
        <v>369789</v>
      </c>
      <c r="Q52" s="394">
        <f t="shared" si="13"/>
        <v>369789</v>
      </c>
      <c r="R52" s="394">
        <f t="shared" si="13"/>
        <v>1445223</v>
      </c>
      <c r="S52" s="394">
        <f t="shared" si="13"/>
        <v>944164</v>
      </c>
      <c r="T52" s="394">
        <f t="shared" si="13"/>
        <v>1144895</v>
      </c>
      <c r="U52" s="394">
        <f t="shared" si="13"/>
        <v>0</v>
      </c>
      <c r="V52" s="394">
        <f t="shared" si="13"/>
        <v>0</v>
      </c>
      <c r="W52" s="394">
        <f t="shared" si="13"/>
        <v>0</v>
      </c>
      <c r="X52" s="394">
        <f t="shared" si="13"/>
        <v>684491</v>
      </c>
      <c r="Y52" s="394">
        <f t="shared" si="13"/>
        <v>0</v>
      </c>
      <c r="Z52" s="394">
        <f t="shared" si="13"/>
        <v>0</v>
      </c>
      <c r="AA52" s="394">
        <f t="shared" si="13"/>
        <v>0</v>
      </c>
      <c r="AB52" s="394">
        <f t="shared" si="13"/>
        <v>460404</v>
      </c>
      <c r="AC52" s="394">
        <f t="shared" si="13"/>
        <v>0</v>
      </c>
      <c r="AD52" s="394">
        <f t="shared" si="13"/>
        <v>0</v>
      </c>
      <c r="AE52" s="394">
        <f t="shared" si="13"/>
        <v>8305</v>
      </c>
      <c r="AF52" s="394">
        <f t="shared" si="13"/>
        <v>6745</v>
      </c>
      <c r="AG52" s="394">
        <f t="shared" si="13"/>
        <v>6745</v>
      </c>
      <c r="AH52" s="394">
        <f t="shared" ref="AH52:AK52" si="14">AH53+AH56+AH62+AH67</f>
        <v>460404</v>
      </c>
      <c r="AI52" s="394">
        <f t="shared" si="14"/>
        <v>0</v>
      </c>
      <c r="AJ52" s="394">
        <f t="shared" si="14"/>
        <v>0</v>
      </c>
      <c r="AK52" s="394">
        <f t="shared" si="14"/>
        <v>8105</v>
      </c>
      <c r="AL52" s="393"/>
      <c r="AM52" s="400">
        <f t="shared" si="4"/>
        <v>0</v>
      </c>
      <c r="AO52" s="397"/>
      <c r="AP52" s="397"/>
      <c r="AQ52" s="397"/>
      <c r="AR52" s="397"/>
      <c r="AS52" s="397"/>
      <c r="AT52" s="397"/>
      <c r="AU52" s="397"/>
      <c r="AV52" s="397"/>
      <c r="AW52" s="397"/>
    </row>
    <row r="53" spans="1:49" s="396" customFormat="1" ht="27" customHeight="1">
      <c r="A53" s="269" t="s">
        <v>109</v>
      </c>
      <c r="B53" s="270" t="s">
        <v>1181</v>
      </c>
      <c r="C53" s="393"/>
      <c r="D53" s="261"/>
      <c r="E53" s="261"/>
      <c r="F53" s="393" t="s">
        <v>975</v>
      </c>
      <c r="G53" s="261"/>
      <c r="H53" s="394"/>
      <c r="I53" s="394"/>
      <c r="J53" s="394">
        <f t="shared" ref="J53:Q53" si="15">SUM(J54:J55)</f>
        <v>9600</v>
      </c>
      <c r="K53" s="394">
        <f t="shared" si="15"/>
        <v>9600</v>
      </c>
      <c r="L53" s="394">
        <f t="shared" si="15"/>
        <v>0</v>
      </c>
      <c r="M53" s="394">
        <f t="shared" si="15"/>
        <v>0</v>
      </c>
      <c r="N53" s="394">
        <f t="shared" si="15"/>
        <v>0</v>
      </c>
      <c r="O53" s="394">
        <f t="shared" si="15"/>
        <v>0</v>
      </c>
      <c r="P53" s="394">
        <f t="shared" si="15"/>
        <v>9600</v>
      </c>
      <c r="Q53" s="394">
        <f t="shared" si="15"/>
        <v>9600</v>
      </c>
      <c r="R53" s="394">
        <v>235132</v>
      </c>
      <c r="S53" s="394">
        <v>235132</v>
      </c>
      <c r="T53" s="394">
        <v>78232</v>
      </c>
      <c r="U53" s="394"/>
      <c r="V53" s="394"/>
      <c r="W53" s="394"/>
      <c r="X53" s="394">
        <v>68432</v>
      </c>
      <c r="Y53" s="394"/>
      <c r="Z53" s="394"/>
      <c r="AA53" s="394"/>
      <c r="AB53" s="394">
        <f>SUM(AB54:AB55)</f>
        <v>9800</v>
      </c>
      <c r="AC53" s="394"/>
      <c r="AD53" s="394"/>
      <c r="AE53" s="394"/>
      <c r="AF53" s="339">
        <f t="shared" si="2"/>
        <v>0</v>
      </c>
      <c r="AG53" s="339">
        <f t="shared" si="3"/>
        <v>0</v>
      </c>
      <c r="AH53" s="394">
        <f>SUM(AH54:AH55)</f>
        <v>9800</v>
      </c>
      <c r="AI53" s="394"/>
      <c r="AJ53" s="394"/>
      <c r="AK53" s="394"/>
      <c r="AL53" s="393"/>
      <c r="AM53" s="400">
        <f t="shared" si="4"/>
        <v>0</v>
      </c>
      <c r="AO53" s="397"/>
      <c r="AP53" s="397"/>
      <c r="AQ53" s="397"/>
      <c r="AR53" s="397"/>
      <c r="AS53" s="397"/>
      <c r="AT53" s="397"/>
      <c r="AU53" s="397"/>
      <c r="AV53" s="397"/>
      <c r="AW53" s="397"/>
    </row>
    <row r="54" spans="1:49" s="390" customFormat="1" ht="27" customHeight="1">
      <c r="A54" s="402">
        <v>1</v>
      </c>
      <c r="B54" s="399" t="s">
        <v>869</v>
      </c>
      <c r="C54" s="388"/>
      <c r="D54" s="260"/>
      <c r="E54" s="260"/>
      <c r="F54" s="388"/>
      <c r="G54" s="260"/>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f t="shared" si="2"/>
        <v>0</v>
      </c>
      <c r="AG54" s="339">
        <f t="shared" si="3"/>
        <v>0</v>
      </c>
      <c r="AH54" s="339"/>
      <c r="AI54" s="339"/>
      <c r="AJ54" s="339"/>
      <c r="AK54" s="339"/>
      <c r="AL54" s="388"/>
      <c r="AM54" s="400">
        <f t="shared" si="4"/>
        <v>0</v>
      </c>
      <c r="AO54" s="391"/>
      <c r="AP54" s="391"/>
      <c r="AQ54" s="391"/>
      <c r="AR54" s="391"/>
      <c r="AS54" s="391"/>
      <c r="AT54" s="391"/>
      <c r="AU54" s="391"/>
      <c r="AV54" s="391"/>
      <c r="AW54" s="391"/>
    </row>
    <row r="55" spans="1:49" s="390" customFormat="1" ht="27" customHeight="1">
      <c r="A55" s="402">
        <v>2</v>
      </c>
      <c r="B55" s="399" t="s">
        <v>1182</v>
      </c>
      <c r="C55" s="388"/>
      <c r="D55" s="260"/>
      <c r="E55" s="260"/>
      <c r="F55" s="388"/>
      <c r="G55" s="260"/>
      <c r="H55" s="339"/>
      <c r="I55" s="339"/>
      <c r="J55" s="339">
        <v>9600</v>
      </c>
      <c r="K55" s="339">
        <v>9600</v>
      </c>
      <c r="L55" s="339"/>
      <c r="M55" s="339"/>
      <c r="N55" s="339"/>
      <c r="O55" s="339"/>
      <c r="P55" s="339">
        <v>9600</v>
      </c>
      <c r="Q55" s="339">
        <v>9600</v>
      </c>
      <c r="R55" s="339"/>
      <c r="S55" s="339"/>
      <c r="T55" s="339"/>
      <c r="U55" s="339"/>
      <c r="V55" s="339"/>
      <c r="W55" s="339"/>
      <c r="X55" s="339"/>
      <c r="Y55" s="339"/>
      <c r="Z55" s="339"/>
      <c r="AA55" s="339"/>
      <c r="AB55" s="339">
        <v>9800</v>
      </c>
      <c r="AC55" s="339"/>
      <c r="AD55" s="339"/>
      <c r="AE55" s="339"/>
      <c r="AF55" s="339">
        <f t="shared" si="2"/>
        <v>0</v>
      </c>
      <c r="AG55" s="339">
        <f t="shared" si="3"/>
        <v>0</v>
      </c>
      <c r="AH55" s="339">
        <v>9800</v>
      </c>
      <c r="AI55" s="339"/>
      <c r="AJ55" s="339"/>
      <c r="AK55" s="339"/>
      <c r="AL55" s="388"/>
      <c r="AM55" s="400">
        <f t="shared" si="4"/>
        <v>-9800</v>
      </c>
      <c r="AO55" s="391"/>
      <c r="AP55" s="391"/>
      <c r="AQ55" s="391"/>
      <c r="AR55" s="391"/>
      <c r="AS55" s="391"/>
      <c r="AT55" s="391"/>
      <c r="AU55" s="391"/>
      <c r="AV55" s="391"/>
      <c r="AW55" s="391"/>
    </row>
    <row r="56" spans="1:49" s="396" customFormat="1" ht="27" customHeight="1">
      <c r="A56" s="269" t="s">
        <v>110</v>
      </c>
      <c r="B56" s="270" t="s">
        <v>407</v>
      </c>
      <c r="C56" s="393"/>
      <c r="D56" s="261"/>
      <c r="E56" s="261"/>
      <c r="F56" s="393" t="s">
        <v>975</v>
      </c>
      <c r="G56" s="261"/>
      <c r="H56" s="394">
        <f>H57+H60</f>
        <v>2839665</v>
      </c>
      <c r="I56" s="394">
        <f t="shared" ref="I56:AE56" si="16">I57+I60</f>
        <v>536153</v>
      </c>
      <c r="J56" s="394">
        <f t="shared" si="16"/>
        <v>56789</v>
      </c>
      <c r="K56" s="394">
        <f t="shared" si="16"/>
        <v>56789</v>
      </c>
      <c r="L56" s="394">
        <f t="shared" si="16"/>
        <v>5027.6206949999996</v>
      </c>
      <c r="M56" s="394">
        <f t="shared" si="16"/>
        <v>5027.6206949999996</v>
      </c>
      <c r="N56" s="394">
        <f t="shared" si="16"/>
        <v>5027.6206949999996</v>
      </c>
      <c r="O56" s="394">
        <f t="shared" si="16"/>
        <v>5027.6206949999996</v>
      </c>
      <c r="P56" s="394">
        <f t="shared" si="16"/>
        <v>56789</v>
      </c>
      <c r="Q56" s="394">
        <f t="shared" si="16"/>
        <v>56789</v>
      </c>
      <c r="R56" s="394">
        <f t="shared" si="16"/>
        <v>425655</v>
      </c>
      <c r="S56" s="394">
        <f t="shared" si="16"/>
        <v>162496</v>
      </c>
      <c r="T56" s="394">
        <f t="shared" si="16"/>
        <v>146328</v>
      </c>
      <c r="U56" s="394">
        <f t="shared" si="16"/>
        <v>0</v>
      </c>
      <c r="V56" s="394">
        <f t="shared" si="16"/>
        <v>0</v>
      </c>
      <c r="W56" s="394">
        <f t="shared" si="16"/>
        <v>0</v>
      </c>
      <c r="X56" s="394">
        <f t="shared" si="16"/>
        <v>102640</v>
      </c>
      <c r="Y56" s="394">
        <f t="shared" si="16"/>
        <v>0</v>
      </c>
      <c r="Z56" s="394">
        <f t="shared" si="16"/>
        <v>0</v>
      </c>
      <c r="AA56" s="394">
        <f t="shared" si="16"/>
        <v>0</v>
      </c>
      <c r="AB56" s="394">
        <f t="shared" si="16"/>
        <v>43688</v>
      </c>
      <c r="AC56" s="394">
        <f t="shared" si="16"/>
        <v>0</v>
      </c>
      <c r="AD56" s="394">
        <f t="shared" si="16"/>
        <v>0</v>
      </c>
      <c r="AE56" s="394">
        <f t="shared" si="16"/>
        <v>2705</v>
      </c>
      <c r="AF56" s="394">
        <f t="shared" ref="AF56:AG56" si="17">AF57+AF60</f>
        <v>0</v>
      </c>
      <c r="AG56" s="394">
        <f t="shared" si="17"/>
        <v>0</v>
      </c>
      <c r="AH56" s="394">
        <f t="shared" ref="AH56:AK56" si="18">AH57+AH60</f>
        <v>43688</v>
      </c>
      <c r="AI56" s="394">
        <f t="shared" si="18"/>
        <v>0</v>
      </c>
      <c r="AJ56" s="394">
        <f t="shared" si="18"/>
        <v>0</v>
      </c>
      <c r="AK56" s="394">
        <f t="shared" si="18"/>
        <v>2705</v>
      </c>
      <c r="AL56" s="393"/>
      <c r="AM56" s="400">
        <f t="shared" si="4"/>
        <v>0</v>
      </c>
      <c r="AO56" s="397"/>
      <c r="AP56" s="397"/>
      <c r="AQ56" s="397"/>
      <c r="AR56" s="397"/>
      <c r="AS56" s="397"/>
      <c r="AT56" s="397"/>
      <c r="AU56" s="397"/>
      <c r="AV56" s="397"/>
      <c r="AW56" s="397"/>
    </row>
    <row r="57" spans="1:49" s="409" customFormat="1" ht="34.5">
      <c r="A57" s="404" t="s">
        <v>120</v>
      </c>
      <c r="B57" s="405" t="s">
        <v>1183</v>
      </c>
      <c r="C57" s="406"/>
      <c r="D57" s="282"/>
      <c r="E57" s="282"/>
      <c r="F57" s="406" t="s">
        <v>975</v>
      </c>
      <c r="G57" s="282"/>
      <c r="H57" s="407">
        <f>SUM(H58:H59)</f>
        <v>1359665</v>
      </c>
      <c r="I57" s="407">
        <f t="shared" ref="I57:AE57" si="19">SUM(I58:I59)</f>
        <v>195433</v>
      </c>
      <c r="J57" s="407">
        <f t="shared" si="19"/>
        <v>56789</v>
      </c>
      <c r="K57" s="407">
        <f t="shared" si="19"/>
        <v>56789</v>
      </c>
      <c r="L57" s="407">
        <f t="shared" si="19"/>
        <v>5027.6206949999996</v>
      </c>
      <c r="M57" s="407">
        <f t="shared" si="19"/>
        <v>5027.6206949999996</v>
      </c>
      <c r="N57" s="407">
        <f t="shared" si="19"/>
        <v>5027.6206949999996</v>
      </c>
      <c r="O57" s="407">
        <f t="shared" si="19"/>
        <v>5027.6206949999996</v>
      </c>
      <c r="P57" s="407">
        <f t="shared" si="19"/>
        <v>56789</v>
      </c>
      <c r="Q57" s="407">
        <f t="shared" si="19"/>
        <v>56789</v>
      </c>
      <c r="R57" s="407">
        <f t="shared" si="19"/>
        <v>425655</v>
      </c>
      <c r="S57" s="407">
        <f t="shared" si="19"/>
        <v>162496</v>
      </c>
      <c r="T57" s="407">
        <f t="shared" si="19"/>
        <v>143623</v>
      </c>
      <c r="U57" s="407">
        <f t="shared" si="19"/>
        <v>0</v>
      </c>
      <c r="V57" s="407">
        <f t="shared" si="19"/>
        <v>0</v>
      </c>
      <c r="W57" s="407">
        <f t="shared" si="19"/>
        <v>0</v>
      </c>
      <c r="X57" s="407">
        <f t="shared" si="19"/>
        <v>102640</v>
      </c>
      <c r="Y57" s="407">
        <f t="shared" si="19"/>
        <v>0</v>
      </c>
      <c r="Z57" s="407">
        <f t="shared" si="19"/>
        <v>0</v>
      </c>
      <c r="AA57" s="407">
        <f t="shared" si="19"/>
        <v>0</v>
      </c>
      <c r="AB57" s="407">
        <f t="shared" si="19"/>
        <v>40983</v>
      </c>
      <c r="AC57" s="407">
        <f t="shared" si="19"/>
        <v>0</v>
      </c>
      <c r="AD57" s="407">
        <f t="shared" si="19"/>
        <v>0</v>
      </c>
      <c r="AE57" s="407">
        <f t="shared" si="19"/>
        <v>0</v>
      </c>
      <c r="AF57" s="407">
        <f t="shared" ref="AF57:AG57" si="20">SUM(AF58:AF59)</f>
        <v>0</v>
      </c>
      <c r="AG57" s="407">
        <f t="shared" si="20"/>
        <v>0</v>
      </c>
      <c r="AH57" s="407">
        <f t="shared" ref="AH57:AK57" si="21">SUM(AH58:AH59)</f>
        <v>40983</v>
      </c>
      <c r="AI57" s="407">
        <f t="shared" si="21"/>
        <v>0</v>
      </c>
      <c r="AJ57" s="407">
        <f t="shared" si="21"/>
        <v>0</v>
      </c>
      <c r="AK57" s="407">
        <f t="shared" si="21"/>
        <v>0</v>
      </c>
      <c r="AL57" s="406"/>
      <c r="AM57" s="408">
        <f t="shared" si="4"/>
        <v>0</v>
      </c>
      <c r="AO57" s="410"/>
      <c r="AP57" s="410"/>
      <c r="AQ57" s="410"/>
      <c r="AR57" s="410"/>
      <c r="AS57" s="410"/>
      <c r="AT57" s="410"/>
      <c r="AU57" s="410"/>
      <c r="AV57" s="410"/>
      <c r="AW57" s="410"/>
    </row>
    <row r="58" spans="1:49" s="390" customFormat="1" ht="104.25" customHeight="1">
      <c r="A58" s="402" t="s">
        <v>144</v>
      </c>
      <c r="B58" s="399" t="s">
        <v>410</v>
      </c>
      <c r="C58" s="388" t="s">
        <v>38</v>
      </c>
      <c r="D58" s="260"/>
      <c r="E58" s="260"/>
      <c r="F58" s="388" t="s">
        <v>1184</v>
      </c>
      <c r="G58" s="260" t="s">
        <v>644</v>
      </c>
      <c r="H58" s="339">
        <v>1199000</v>
      </c>
      <c r="I58" s="339">
        <v>180000</v>
      </c>
      <c r="J58" s="339">
        <v>53789</v>
      </c>
      <c r="K58" s="339">
        <v>53789</v>
      </c>
      <c r="L58" s="339">
        <v>5027.6206949999996</v>
      </c>
      <c r="M58" s="339">
        <v>5027.6206949999996</v>
      </c>
      <c r="N58" s="339">
        <v>5027.6206949999996</v>
      </c>
      <c r="O58" s="339">
        <v>5027.6206949999996</v>
      </c>
      <c r="P58" s="339">
        <v>53789</v>
      </c>
      <c r="Q58" s="339">
        <v>53789</v>
      </c>
      <c r="R58" s="339">
        <f>432693-16211</f>
        <v>416482</v>
      </c>
      <c r="S58" s="339">
        <f>169534-16211</f>
        <v>153323</v>
      </c>
      <c r="T58" s="339">
        <v>128190</v>
      </c>
      <c r="U58" s="339"/>
      <c r="V58" s="339"/>
      <c r="W58" s="339"/>
      <c r="X58" s="339">
        <v>93467</v>
      </c>
      <c r="Y58" s="339"/>
      <c r="Z58" s="339"/>
      <c r="AA58" s="339"/>
      <c r="AB58" s="339">
        <v>34723</v>
      </c>
      <c r="AC58" s="339"/>
      <c r="AD58" s="339"/>
      <c r="AE58" s="339"/>
      <c r="AF58" s="339">
        <f t="shared" si="2"/>
        <v>0</v>
      </c>
      <c r="AG58" s="339">
        <f t="shared" si="3"/>
        <v>0</v>
      </c>
      <c r="AH58" s="339">
        <v>34723</v>
      </c>
      <c r="AI58" s="339"/>
      <c r="AJ58" s="339"/>
      <c r="AK58" s="339"/>
      <c r="AL58" s="391"/>
      <c r="AM58" s="400">
        <f t="shared" si="4"/>
        <v>0</v>
      </c>
      <c r="AN58" s="411"/>
      <c r="AO58" s="388"/>
      <c r="AP58" s="388"/>
      <c r="AQ58" s="388"/>
      <c r="AR58" s="388">
        <v>1</v>
      </c>
      <c r="AS58" s="388"/>
      <c r="AT58" s="388"/>
      <c r="AU58" s="388"/>
      <c r="AV58" s="391">
        <v>1</v>
      </c>
      <c r="AW58" s="391" t="s">
        <v>1185</v>
      </c>
    </row>
    <row r="59" spans="1:49" s="390" customFormat="1" ht="107.25" customHeight="1">
      <c r="A59" s="402" t="s">
        <v>547</v>
      </c>
      <c r="B59" s="399" t="s">
        <v>413</v>
      </c>
      <c r="C59" s="388" t="s">
        <v>38</v>
      </c>
      <c r="D59" s="260"/>
      <c r="E59" s="260"/>
      <c r="F59" s="388" t="s">
        <v>1186</v>
      </c>
      <c r="G59" s="260" t="s">
        <v>646</v>
      </c>
      <c r="H59" s="339">
        <v>160665</v>
      </c>
      <c r="I59" s="339">
        <v>15433</v>
      </c>
      <c r="J59" s="339">
        <v>3000</v>
      </c>
      <c r="K59" s="339">
        <v>3000</v>
      </c>
      <c r="L59" s="339"/>
      <c r="M59" s="339"/>
      <c r="N59" s="339"/>
      <c r="O59" s="339"/>
      <c r="P59" s="339">
        <v>3000</v>
      </c>
      <c r="Q59" s="339">
        <v>3000</v>
      </c>
      <c r="R59" s="339">
        <v>9173</v>
      </c>
      <c r="S59" s="339">
        <v>9173</v>
      </c>
      <c r="T59" s="339">
        <v>15433</v>
      </c>
      <c r="U59" s="339"/>
      <c r="V59" s="339"/>
      <c r="W59" s="339"/>
      <c r="X59" s="339">
        <v>9173</v>
      </c>
      <c r="Y59" s="339"/>
      <c r="Z59" s="339"/>
      <c r="AA59" s="339"/>
      <c r="AB59" s="339">
        <v>6260</v>
      </c>
      <c r="AC59" s="339"/>
      <c r="AD59" s="339"/>
      <c r="AE59" s="339"/>
      <c r="AF59" s="339">
        <f t="shared" si="2"/>
        <v>0</v>
      </c>
      <c r="AG59" s="339">
        <f t="shared" si="3"/>
        <v>0</v>
      </c>
      <c r="AH59" s="339">
        <v>6260</v>
      </c>
      <c r="AI59" s="339"/>
      <c r="AJ59" s="339"/>
      <c r="AK59" s="339"/>
      <c r="AL59" s="388"/>
      <c r="AM59" s="400">
        <f t="shared" si="4"/>
        <v>0</v>
      </c>
      <c r="AO59" s="391"/>
      <c r="AP59" s="391"/>
      <c r="AQ59" s="391"/>
      <c r="AR59" s="391">
        <v>1</v>
      </c>
      <c r="AS59" s="391"/>
      <c r="AT59" s="391"/>
      <c r="AU59" s="391"/>
      <c r="AV59" s="391">
        <v>1</v>
      </c>
      <c r="AW59" s="391" t="s">
        <v>1187</v>
      </c>
    </row>
    <row r="60" spans="1:49" s="414" customFormat="1" ht="34.5">
      <c r="A60" s="404" t="s">
        <v>122</v>
      </c>
      <c r="B60" s="405" t="s">
        <v>1188</v>
      </c>
      <c r="C60" s="412"/>
      <c r="D60" s="282"/>
      <c r="E60" s="282"/>
      <c r="F60" s="412"/>
      <c r="G60" s="282"/>
      <c r="H60" s="407">
        <f>H61</f>
        <v>1480000</v>
      </c>
      <c r="I60" s="407">
        <f t="shared" ref="I60:AG60" si="22">I61</f>
        <v>340720</v>
      </c>
      <c r="J60" s="407">
        <f t="shared" si="22"/>
        <v>0</v>
      </c>
      <c r="K60" s="407">
        <f t="shared" si="22"/>
        <v>0</v>
      </c>
      <c r="L60" s="407">
        <f t="shared" si="22"/>
        <v>0</v>
      </c>
      <c r="M60" s="407">
        <f t="shared" si="22"/>
        <v>0</v>
      </c>
      <c r="N60" s="407">
        <f t="shared" si="22"/>
        <v>0</v>
      </c>
      <c r="O60" s="407">
        <f t="shared" si="22"/>
        <v>0</v>
      </c>
      <c r="P60" s="407">
        <f t="shared" si="22"/>
        <v>0</v>
      </c>
      <c r="Q60" s="407">
        <f t="shared" si="22"/>
        <v>0</v>
      </c>
      <c r="R60" s="407">
        <f t="shared" si="22"/>
        <v>0</v>
      </c>
      <c r="S60" s="407">
        <f t="shared" si="22"/>
        <v>0</v>
      </c>
      <c r="T60" s="407">
        <f t="shared" si="22"/>
        <v>2705</v>
      </c>
      <c r="U60" s="407">
        <f t="shared" si="22"/>
        <v>0</v>
      </c>
      <c r="V60" s="407">
        <f t="shared" si="22"/>
        <v>0</v>
      </c>
      <c r="W60" s="407">
        <f t="shared" si="22"/>
        <v>0</v>
      </c>
      <c r="X60" s="407">
        <f t="shared" si="22"/>
        <v>0</v>
      </c>
      <c r="Y60" s="407">
        <f t="shared" si="22"/>
        <v>0</v>
      </c>
      <c r="Z60" s="407">
        <f t="shared" si="22"/>
        <v>0</v>
      </c>
      <c r="AA60" s="407">
        <f t="shared" si="22"/>
        <v>0</v>
      </c>
      <c r="AB60" s="407">
        <f t="shared" si="22"/>
        <v>2705</v>
      </c>
      <c r="AC60" s="407">
        <f t="shared" si="22"/>
        <v>0</v>
      </c>
      <c r="AD60" s="407">
        <f t="shared" si="22"/>
        <v>0</v>
      </c>
      <c r="AE60" s="407">
        <f t="shared" si="22"/>
        <v>2705</v>
      </c>
      <c r="AF60" s="407">
        <f t="shared" si="22"/>
        <v>0</v>
      </c>
      <c r="AG60" s="407">
        <f t="shared" si="22"/>
        <v>0</v>
      </c>
      <c r="AH60" s="407">
        <f t="shared" ref="AH60:AK60" si="23">AH61</f>
        <v>2705</v>
      </c>
      <c r="AI60" s="407">
        <f t="shared" si="23"/>
        <v>0</v>
      </c>
      <c r="AJ60" s="407">
        <f t="shared" si="23"/>
        <v>0</v>
      </c>
      <c r="AK60" s="407">
        <f t="shared" si="23"/>
        <v>2705</v>
      </c>
      <c r="AL60" s="412"/>
      <c r="AM60" s="413"/>
      <c r="AO60" s="415"/>
      <c r="AP60" s="415"/>
      <c r="AQ60" s="415"/>
      <c r="AR60" s="415"/>
      <c r="AS60" s="415"/>
      <c r="AT60" s="415"/>
      <c r="AU60" s="415"/>
      <c r="AV60" s="415"/>
      <c r="AW60" s="415"/>
    </row>
    <row r="61" spans="1:49" s="390" customFormat="1" ht="66.75" customHeight="1">
      <c r="A61" s="402" t="s">
        <v>144</v>
      </c>
      <c r="B61" s="399" t="s">
        <v>517</v>
      </c>
      <c r="C61" s="388" t="s">
        <v>38</v>
      </c>
      <c r="D61" s="260"/>
      <c r="E61" s="260"/>
      <c r="F61" s="388"/>
      <c r="G61" s="260"/>
      <c r="H61" s="339">
        <v>1480000</v>
      </c>
      <c r="I61" s="339">
        <v>340720</v>
      </c>
      <c r="J61" s="339"/>
      <c r="K61" s="339"/>
      <c r="L61" s="339"/>
      <c r="M61" s="339"/>
      <c r="N61" s="339"/>
      <c r="O61" s="339"/>
      <c r="P61" s="339"/>
      <c r="Q61" s="339"/>
      <c r="R61" s="339"/>
      <c r="S61" s="339"/>
      <c r="T61" s="339">
        <v>2705</v>
      </c>
      <c r="U61" s="339"/>
      <c r="V61" s="339"/>
      <c r="W61" s="339"/>
      <c r="X61" s="339"/>
      <c r="Y61" s="339"/>
      <c r="Z61" s="339"/>
      <c r="AA61" s="339"/>
      <c r="AB61" s="339">
        <v>2705</v>
      </c>
      <c r="AC61" s="339"/>
      <c r="AD61" s="339"/>
      <c r="AE61" s="339">
        <v>2705</v>
      </c>
      <c r="AF61" s="339">
        <f t="shared" si="2"/>
        <v>0</v>
      </c>
      <c r="AG61" s="339">
        <f t="shared" si="3"/>
        <v>0</v>
      </c>
      <c r="AH61" s="339">
        <v>2705</v>
      </c>
      <c r="AI61" s="339"/>
      <c r="AJ61" s="339"/>
      <c r="AK61" s="339">
        <v>2705</v>
      </c>
      <c r="AL61" s="388"/>
      <c r="AM61" s="400"/>
      <c r="AO61" s="391"/>
      <c r="AP61" s="391"/>
      <c r="AQ61" s="391"/>
      <c r="AR61" s="391">
        <v>1</v>
      </c>
      <c r="AS61" s="391"/>
      <c r="AT61" s="391"/>
      <c r="AU61" s="391"/>
      <c r="AV61" s="391"/>
      <c r="AW61" s="391"/>
    </row>
    <row r="62" spans="1:49" s="396" customFormat="1" ht="30" customHeight="1">
      <c r="A62" s="269" t="s">
        <v>414</v>
      </c>
      <c r="B62" s="270" t="s">
        <v>1189</v>
      </c>
      <c r="C62" s="393"/>
      <c r="D62" s="261"/>
      <c r="E62" s="261"/>
      <c r="F62" s="393" t="s">
        <v>975</v>
      </c>
      <c r="G62" s="261"/>
      <c r="H62" s="394">
        <f>H63+H65</f>
        <v>1307400</v>
      </c>
      <c r="I62" s="394">
        <f t="shared" ref="I62:AE62" si="24">I63+I65</f>
        <v>327400</v>
      </c>
      <c r="J62" s="394">
        <f t="shared" si="24"/>
        <v>31203</v>
      </c>
      <c r="K62" s="394">
        <f t="shared" si="24"/>
        <v>31203</v>
      </c>
      <c r="L62" s="394">
        <f t="shared" si="24"/>
        <v>4444.3023089999997</v>
      </c>
      <c r="M62" s="394">
        <f t="shared" si="24"/>
        <v>4444.3023089999997</v>
      </c>
      <c r="N62" s="394">
        <f t="shared" si="24"/>
        <v>5320.9365580000003</v>
      </c>
      <c r="O62" s="394">
        <f t="shared" si="24"/>
        <v>5320.9365580000003</v>
      </c>
      <c r="P62" s="394">
        <f t="shared" si="24"/>
        <v>31203</v>
      </c>
      <c r="Q62" s="394">
        <f t="shared" si="24"/>
        <v>31203</v>
      </c>
      <c r="R62" s="394">
        <f t="shared" si="24"/>
        <v>60163</v>
      </c>
      <c r="S62" s="394">
        <f t="shared" si="24"/>
        <v>60163</v>
      </c>
      <c r="T62" s="394">
        <f t="shared" si="24"/>
        <v>198430</v>
      </c>
      <c r="U62" s="394">
        <f t="shared" si="24"/>
        <v>0</v>
      </c>
      <c r="V62" s="394">
        <f t="shared" si="24"/>
        <v>0</v>
      </c>
      <c r="W62" s="394">
        <f t="shared" si="24"/>
        <v>0</v>
      </c>
      <c r="X62" s="394">
        <f t="shared" si="24"/>
        <v>35955</v>
      </c>
      <c r="Y62" s="394">
        <f t="shared" si="24"/>
        <v>0</v>
      </c>
      <c r="Z62" s="394">
        <f t="shared" si="24"/>
        <v>0</v>
      </c>
      <c r="AA62" s="394">
        <f t="shared" si="24"/>
        <v>0</v>
      </c>
      <c r="AB62" s="394">
        <f t="shared" si="24"/>
        <v>162475</v>
      </c>
      <c r="AC62" s="394">
        <f t="shared" si="24"/>
        <v>0</v>
      </c>
      <c r="AD62" s="394">
        <f t="shared" si="24"/>
        <v>0</v>
      </c>
      <c r="AE62" s="394">
        <f t="shared" si="24"/>
        <v>0</v>
      </c>
      <c r="AF62" s="394">
        <f t="shared" ref="AF62:AG62" si="25">AF63+AF65</f>
        <v>0</v>
      </c>
      <c r="AG62" s="394">
        <f t="shared" si="25"/>
        <v>0</v>
      </c>
      <c r="AH62" s="394">
        <f t="shared" ref="AH62:AK62" si="26">AH63+AH65</f>
        <v>162475</v>
      </c>
      <c r="AI62" s="394">
        <f t="shared" si="26"/>
        <v>0</v>
      </c>
      <c r="AJ62" s="394">
        <f t="shared" si="26"/>
        <v>0</v>
      </c>
      <c r="AK62" s="394">
        <f t="shared" si="26"/>
        <v>0</v>
      </c>
      <c r="AL62" s="393"/>
      <c r="AM62" s="400">
        <f t="shared" si="4"/>
        <v>0</v>
      </c>
      <c r="AO62" s="397"/>
      <c r="AP62" s="397"/>
      <c r="AQ62" s="397"/>
      <c r="AR62" s="397"/>
      <c r="AS62" s="397"/>
      <c r="AT62" s="397"/>
      <c r="AU62" s="397"/>
      <c r="AV62" s="397"/>
      <c r="AW62" s="397"/>
    </row>
    <row r="63" spans="1:49" s="414" customFormat="1" ht="34.5">
      <c r="A63" s="416" t="s">
        <v>120</v>
      </c>
      <c r="B63" s="417" t="s">
        <v>1183</v>
      </c>
      <c r="C63" s="412"/>
      <c r="D63" s="282"/>
      <c r="E63" s="282"/>
      <c r="F63" s="412" t="s">
        <v>975</v>
      </c>
      <c r="G63" s="282"/>
      <c r="H63" s="407">
        <f>H64</f>
        <v>1300000</v>
      </c>
      <c r="I63" s="407">
        <f t="shared" ref="I63:AG63" si="27">I64</f>
        <v>320000</v>
      </c>
      <c r="J63" s="407">
        <f t="shared" si="27"/>
        <v>31003</v>
      </c>
      <c r="K63" s="407">
        <f t="shared" si="27"/>
        <v>31003</v>
      </c>
      <c r="L63" s="407">
        <f t="shared" si="27"/>
        <v>4444.3023089999997</v>
      </c>
      <c r="M63" s="407">
        <f t="shared" si="27"/>
        <v>4444.3023089999997</v>
      </c>
      <c r="N63" s="407">
        <f t="shared" si="27"/>
        <v>5320.9365580000003</v>
      </c>
      <c r="O63" s="407">
        <f t="shared" si="27"/>
        <v>5320.9365580000003</v>
      </c>
      <c r="P63" s="407">
        <f t="shared" si="27"/>
        <v>31003</v>
      </c>
      <c r="Q63" s="407">
        <f t="shared" si="27"/>
        <v>31003</v>
      </c>
      <c r="R63" s="407">
        <f t="shared" si="27"/>
        <v>59963</v>
      </c>
      <c r="S63" s="407">
        <f t="shared" si="27"/>
        <v>59963</v>
      </c>
      <c r="T63" s="407">
        <f t="shared" si="27"/>
        <v>198230</v>
      </c>
      <c r="U63" s="407">
        <f t="shared" si="27"/>
        <v>0</v>
      </c>
      <c r="V63" s="407">
        <f t="shared" si="27"/>
        <v>0</v>
      </c>
      <c r="W63" s="407">
        <f t="shared" si="27"/>
        <v>0</v>
      </c>
      <c r="X63" s="407">
        <f t="shared" si="27"/>
        <v>35755</v>
      </c>
      <c r="Y63" s="407">
        <f t="shared" si="27"/>
        <v>0</v>
      </c>
      <c r="Z63" s="407">
        <f t="shared" si="27"/>
        <v>0</v>
      </c>
      <c r="AA63" s="407">
        <f t="shared" si="27"/>
        <v>0</v>
      </c>
      <c r="AB63" s="407">
        <f t="shared" si="27"/>
        <v>162475</v>
      </c>
      <c r="AC63" s="407">
        <f t="shared" si="27"/>
        <v>0</v>
      </c>
      <c r="AD63" s="407">
        <f t="shared" si="27"/>
        <v>0</v>
      </c>
      <c r="AE63" s="407">
        <f t="shared" si="27"/>
        <v>0</v>
      </c>
      <c r="AF63" s="407">
        <f t="shared" si="27"/>
        <v>0</v>
      </c>
      <c r="AG63" s="407">
        <f t="shared" si="27"/>
        <v>0</v>
      </c>
      <c r="AH63" s="407">
        <f t="shared" ref="AH63:AK63" si="28">AH64</f>
        <v>162475</v>
      </c>
      <c r="AI63" s="407">
        <f t="shared" si="28"/>
        <v>0</v>
      </c>
      <c r="AJ63" s="407">
        <f t="shared" si="28"/>
        <v>0</v>
      </c>
      <c r="AK63" s="407">
        <f t="shared" si="28"/>
        <v>0</v>
      </c>
      <c r="AL63" s="412"/>
      <c r="AM63" s="400">
        <f t="shared" si="4"/>
        <v>0</v>
      </c>
      <c r="AO63" s="415"/>
      <c r="AP63" s="415"/>
      <c r="AQ63" s="415"/>
      <c r="AR63" s="415"/>
      <c r="AS63" s="415"/>
      <c r="AT63" s="415"/>
      <c r="AU63" s="415"/>
      <c r="AV63" s="415"/>
      <c r="AW63" s="415"/>
    </row>
    <row r="64" spans="1:49" s="390" customFormat="1" ht="91.5" customHeight="1">
      <c r="A64" s="402">
        <v>1</v>
      </c>
      <c r="B64" s="399" t="s">
        <v>180</v>
      </c>
      <c r="C64" s="388" t="s">
        <v>38</v>
      </c>
      <c r="D64" s="260" t="s">
        <v>242</v>
      </c>
      <c r="E64" s="260" t="s">
        <v>275</v>
      </c>
      <c r="F64" s="388" t="s">
        <v>1186</v>
      </c>
      <c r="G64" s="260" t="s">
        <v>1190</v>
      </c>
      <c r="H64" s="339">
        <v>1300000</v>
      </c>
      <c r="I64" s="339">
        <f>H64-980000</f>
        <v>320000</v>
      </c>
      <c r="J64" s="339">
        <v>31003</v>
      </c>
      <c r="K64" s="339">
        <v>31003</v>
      </c>
      <c r="L64" s="339">
        <v>4444.3023089999997</v>
      </c>
      <c r="M64" s="339">
        <v>4444.3023089999997</v>
      </c>
      <c r="N64" s="339">
        <v>5320.9365580000003</v>
      </c>
      <c r="O64" s="339">
        <v>5320.9365580000003</v>
      </c>
      <c r="P64" s="339">
        <v>31003</v>
      </c>
      <c r="Q64" s="339">
        <v>31003</v>
      </c>
      <c r="R64" s="339">
        <v>59963</v>
      </c>
      <c r="S64" s="339">
        <v>59963</v>
      </c>
      <c r="T64" s="339">
        <v>198230</v>
      </c>
      <c r="U64" s="339"/>
      <c r="V64" s="339"/>
      <c r="W64" s="339"/>
      <c r="X64" s="339">
        <v>35755</v>
      </c>
      <c r="Y64" s="339"/>
      <c r="Z64" s="339"/>
      <c r="AA64" s="339"/>
      <c r="AB64" s="339">
        <v>162475</v>
      </c>
      <c r="AC64" s="339"/>
      <c r="AD64" s="339"/>
      <c r="AE64" s="339"/>
      <c r="AF64" s="339">
        <f t="shared" si="2"/>
        <v>0</v>
      </c>
      <c r="AG64" s="339">
        <f t="shared" si="3"/>
        <v>0</v>
      </c>
      <c r="AH64" s="339">
        <v>162475</v>
      </c>
      <c r="AI64" s="339"/>
      <c r="AJ64" s="339"/>
      <c r="AK64" s="339"/>
      <c r="AL64" s="388" t="s">
        <v>1191</v>
      </c>
      <c r="AM64" s="400">
        <f t="shared" si="4"/>
        <v>0</v>
      </c>
      <c r="AO64" s="391"/>
      <c r="AP64" s="391"/>
      <c r="AQ64" s="391">
        <v>1</v>
      </c>
      <c r="AR64" s="391"/>
      <c r="AS64" s="391"/>
      <c r="AT64" s="391"/>
      <c r="AU64" s="391"/>
      <c r="AV64" s="391">
        <v>1</v>
      </c>
      <c r="AW64" s="391" t="s">
        <v>1164</v>
      </c>
    </row>
    <row r="65" spans="1:49" s="414" customFormat="1">
      <c r="A65" s="404" t="s">
        <v>122</v>
      </c>
      <c r="B65" s="405" t="s">
        <v>1192</v>
      </c>
      <c r="C65" s="412"/>
      <c r="D65" s="282"/>
      <c r="E65" s="282"/>
      <c r="F65" s="412"/>
      <c r="G65" s="282"/>
      <c r="H65" s="407">
        <f>H66</f>
        <v>7400</v>
      </c>
      <c r="I65" s="407">
        <f t="shared" ref="I65:AG65" si="29">I66</f>
        <v>7400</v>
      </c>
      <c r="J65" s="407">
        <f t="shared" si="29"/>
        <v>200</v>
      </c>
      <c r="K65" s="407">
        <f t="shared" si="29"/>
        <v>200</v>
      </c>
      <c r="L65" s="407">
        <f t="shared" si="29"/>
        <v>0</v>
      </c>
      <c r="M65" s="407">
        <f t="shared" si="29"/>
        <v>0</v>
      </c>
      <c r="N65" s="407">
        <f t="shared" si="29"/>
        <v>0</v>
      </c>
      <c r="O65" s="407">
        <f t="shared" si="29"/>
        <v>0</v>
      </c>
      <c r="P65" s="407">
        <f t="shared" si="29"/>
        <v>200</v>
      </c>
      <c r="Q65" s="407">
        <f t="shared" si="29"/>
        <v>200</v>
      </c>
      <c r="R65" s="407">
        <f t="shared" si="29"/>
        <v>200</v>
      </c>
      <c r="S65" s="407">
        <f t="shared" si="29"/>
        <v>200</v>
      </c>
      <c r="T65" s="407">
        <f t="shared" si="29"/>
        <v>200</v>
      </c>
      <c r="U65" s="407">
        <f t="shared" si="29"/>
        <v>0</v>
      </c>
      <c r="V65" s="407">
        <f t="shared" si="29"/>
        <v>0</v>
      </c>
      <c r="W65" s="407">
        <f t="shared" si="29"/>
        <v>0</v>
      </c>
      <c r="X65" s="407">
        <f t="shared" si="29"/>
        <v>200</v>
      </c>
      <c r="Y65" s="407">
        <f t="shared" si="29"/>
        <v>0</v>
      </c>
      <c r="Z65" s="407">
        <f t="shared" si="29"/>
        <v>0</v>
      </c>
      <c r="AA65" s="407">
        <f t="shared" si="29"/>
        <v>0</v>
      </c>
      <c r="AB65" s="407">
        <f t="shared" si="29"/>
        <v>0</v>
      </c>
      <c r="AC65" s="407">
        <f t="shared" si="29"/>
        <v>0</v>
      </c>
      <c r="AD65" s="407">
        <f t="shared" si="29"/>
        <v>0</v>
      </c>
      <c r="AE65" s="407">
        <f t="shared" si="29"/>
        <v>0</v>
      </c>
      <c r="AF65" s="407">
        <f t="shared" si="29"/>
        <v>0</v>
      </c>
      <c r="AG65" s="407">
        <f t="shared" si="29"/>
        <v>0</v>
      </c>
      <c r="AH65" s="407">
        <f t="shared" ref="AH65:AK65" si="30">AH66</f>
        <v>0</v>
      </c>
      <c r="AI65" s="407">
        <f t="shared" si="30"/>
        <v>0</v>
      </c>
      <c r="AJ65" s="407">
        <f t="shared" si="30"/>
        <v>0</v>
      </c>
      <c r="AK65" s="407">
        <f t="shared" si="30"/>
        <v>0</v>
      </c>
      <c r="AL65" s="412"/>
      <c r="AM65" s="400">
        <f t="shared" si="4"/>
        <v>0</v>
      </c>
      <c r="AO65" s="415"/>
      <c r="AP65" s="415"/>
      <c r="AQ65" s="415"/>
      <c r="AR65" s="415"/>
      <c r="AS65" s="415"/>
      <c r="AT65" s="415"/>
      <c r="AU65" s="415"/>
      <c r="AV65" s="415"/>
      <c r="AW65" s="415"/>
    </row>
    <row r="66" spans="1:49" s="390" customFormat="1" ht="81" customHeight="1">
      <c r="A66" s="402" t="s">
        <v>144</v>
      </c>
      <c r="B66" s="399" t="s">
        <v>425</v>
      </c>
      <c r="C66" s="388" t="s">
        <v>39</v>
      </c>
      <c r="D66" s="260" t="s">
        <v>229</v>
      </c>
      <c r="E66" s="260"/>
      <c r="F66" s="388" t="s">
        <v>1193</v>
      </c>
      <c r="G66" s="260" t="s">
        <v>864</v>
      </c>
      <c r="H66" s="339">
        <v>7400</v>
      </c>
      <c r="I66" s="339">
        <v>7400</v>
      </c>
      <c r="J66" s="339">
        <v>200</v>
      </c>
      <c r="K66" s="339">
        <v>200</v>
      </c>
      <c r="L66" s="339"/>
      <c r="M66" s="339"/>
      <c r="N66" s="339"/>
      <c r="O66" s="339"/>
      <c r="P66" s="339">
        <v>200</v>
      </c>
      <c r="Q66" s="339">
        <v>200</v>
      </c>
      <c r="R66" s="339">
        <v>200</v>
      </c>
      <c r="S66" s="339">
        <v>200</v>
      </c>
      <c r="T66" s="339">
        <v>200</v>
      </c>
      <c r="U66" s="339"/>
      <c r="V66" s="339"/>
      <c r="W66" s="339"/>
      <c r="X66" s="339">
        <v>200</v>
      </c>
      <c r="Y66" s="339"/>
      <c r="Z66" s="339"/>
      <c r="AA66" s="339"/>
      <c r="AB66" s="339">
        <v>0</v>
      </c>
      <c r="AC66" s="339"/>
      <c r="AD66" s="339"/>
      <c r="AE66" s="339"/>
      <c r="AF66" s="339">
        <f t="shared" si="2"/>
        <v>0</v>
      </c>
      <c r="AG66" s="339">
        <f t="shared" si="3"/>
        <v>0</v>
      </c>
      <c r="AH66" s="339">
        <v>0</v>
      </c>
      <c r="AI66" s="339"/>
      <c r="AJ66" s="339"/>
      <c r="AK66" s="339"/>
      <c r="AL66" s="388" t="s">
        <v>1177</v>
      </c>
      <c r="AM66" s="400">
        <f t="shared" si="4"/>
        <v>0</v>
      </c>
      <c r="AO66" s="391"/>
      <c r="AP66" s="391"/>
      <c r="AQ66" s="391"/>
      <c r="AR66" s="391"/>
      <c r="AS66" s="391">
        <v>1</v>
      </c>
      <c r="AT66" s="391"/>
      <c r="AU66" s="391"/>
      <c r="AV66" s="391"/>
      <c r="AW66" s="391"/>
    </row>
    <row r="67" spans="1:49" s="396" customFormat="1" ht="24" customHeight="1">
      <c r="A67" s="269" t="s">
        <v>1194</v>
      </c>
      <c r="B67" s="270" t="s">
        <v>427</v>
      </c>
      <c r="C67" s="393"/>
      <c r="D67" s="261"/>
      <c r="E67" s="261"/>
      <c r="F67" s="393" t="s">
        <v>975</v>
      </c>
      <c r="G67" s="261"/>
      <c r="H67" s="394">
        <f t="shared" ref="H67:AK67" si="31">H68+H74+H88+H110+H116+H123+H125+H128+H131+H132+H183+H193+H194</f>
        <v>3434879.4</v>
      </c>
      <c r="I67" s="394">
        <f t="shared" si="31"/>
        <v>1711622.9</v>
      </c>
      <c r="J67" s="394">
        <f t="shared" si="31"/>
        <v>272197</v>
      </c>
      <c r="K67" s="394">
        <f t="shared" si="31"/>
        <v>272197</v>
      </c>
      <c r="L67" s="394">
        <f t="shared" si="31"/>
        <v>132216.82354700001</v>
      </c>
      <c r="M67" s="394">
        <f t="shared" si="31"/>
        <v>132216.82354700001</v>
      </c>
      <c r="N67" s="394">
        <f t="shared" si="31"/>
        <v>166389.75839199999</v>
      </c>
      <c r="O67" s="394">
        <f t="shared" si="31"/>
        <v>166389.75839199999</v>
      </c>
      <c r="P67" s="394">
        <f t="shared" si="31"/>
        <v>272197</v>
      </c>
      <c r="Q67" s="394">
        <f t="shared" si="31"/>
        <v>272197</v>
      </c>
      <c r="R67" s="394">
        <f t="shared" si="31"/>
        <v>724273</v>
      </c>
      <c r="S67" s="394">
        <f t="shared" si="31"/>
        <v>486373</v>
      </c>
      <c r="T67" s="394">
        <f t="shared" si="31"/>
        <v>721905</v>
      </c>
      <c r="U67" s="394">
        <f t="shared" si="31"/>
        <v>0</v>
      </c>
      <c r="V67" s="394">
        <f t="shared" si="31"/>
        <v>0</v>
      </c>
      <c r="W67" s="394">
        <f t="shared" si="31"/>
        <v>0</v>
      </c>
      <c r="X67" s="394">
        <f t="shared" si="31"/>
        <v>477464</v>
      </c>
      <c r="Y67" s="394">
        <f t="shared" si="31"/>
        <v>0</v>
      </c>
      <c r="Z67" s="394">
        <f t="shared" si="31"/>
        <v>0</v>
      </c>
      <c r="AA67" s="394">
        <f t="shared" si="31"/>
        <v>0</v>
      </c>
      <c r="AB67" s="394">
        <f t="shared" si="31"/>
        <v>244441</v>
      </c>
      <c r="AC67" s="394">
        <f t="shared" si="31"/>
        <v>0</v>
      </c>
      <c r="AD67" s="394">
        <f t="shared" si="31"/>
        <v>0</v>
      </c>
      <c r="AE67" s="394">
        <f t="shared" si="31"/>
        <v>5600</v>
      </c>
      <c r="AF67" s="394">
        <f t="shared" si="31"/>
        <v>6745</v>
      </c>
      <c r="AG67" s="394">
        <f t="shared" si="31"/>
        <v>6745</v>
      </c>
      <c r="AH67" s="394">
        <f t="shared" si="31"/>
        <v>244441</v>
      </c>
      <c r="AI67" s="394">
        <f t="shared" si="31"/>
        <v>0</v>
      </c>
      <c r="AJ67" s="394">
        <f t="shared" si="31"/>
        <v>0</v>
      </c>
      <c r="AK67" s="394">
        <f t="shared" si="31"/>
        <v>5400</v>
      </c>
      <c r="AL67" s="393"/>
      <c r="AM67" s="400">
        <f t="shared" si="4"/>
        <v>0</v>
      </c>
      <c r="AO67" s="397"/>
      <c r="AP67" s="397"/>
      <c r="AQ67" s="397"/>
      <c r="AR67" s="397"/>
      <c r="AS67" s="397"/>
      <c r="AT67" s="397"/>
      <c r="AU67" s="397"/>
      <c r="AV67" s="397"/>
      <c r="AW67" s="397"/>
    </row>
    <row r="68" spans="1:49" s="396" customFormat="1" ht="24" customHeight="1">
      <c r="A68" s="269" t="s">
        <v>120</v>
      </c>
      <c r="B68" s="270" t="s">
        <v>428</v>
      </c>
      <c r="C68" s="393"/>
      <c r="D68" s="261"/>
      <c r="E68" s="261"/>
      <c r="F68" s="393" t="s">
        <v>975</v>
      </c>
      <c r="G68" s="261"/>
      <c r="H68" s="394">
        <f t="shared" ref="H68:AE68" si="32">H69+H70+H72</f>
        <v>20100</v>
      </c>
      <c r="I68" s="394">
        <f t="shared" si="32"/>
        <v>20100</v>
      </c>
      <c r="J68" s="394">
        <f t="shared" si="32"/>
        <v>5000</v>
      </c>
      <c r="K68" s="394">
        <f t="shared" si="32"/>
        <v>5000</v>
      </c>
      <c r="L68" s="394">
        <f t="shared" si="32"/>
        <v>3856.9780000000001</v>
      </c>
      <c r="M68" s="394">
        <f t="shared" si="32"/>
        <v>3856.9780000000001</v>
      </c>
      <c r="N68" s="394">
        <f t="shared" si="32"/>
        <v>3856.9780000000001</v>
      </c>
      <c r="O68" s="394">
        <f t="shared" si="32"/>
        <v>3856.9780000000001</v>
      </c>
      <c r="P68" s="394">
        <f t="shared" si="32"/>
        <v>5000</v>
      </c>
      <c r="Q68" s="394">
        <f t="shared" si="32"/>
        <v>5000</v>
      </c>
      <c r="R68" s="394">
        <f t="shared" si="32"/>
        <v>6000</v>
      </c>
      <c r="S68" s="394">
        <f t="shared" si="32"/>
        <v>6000</v>
      </c>
      <c r="T68" s="394">
        <f t="shared" si="32"/>
        <v>10000</v>
      </c>
      <c r="U68" s="394">
        <f t="shared" si="32"/>
        <v>0</v>
      </c>
      <c r="V68" s="394">
        <f t="shared" si="32"/>
        <v>0</v>
      </c>
      <c r="W68" s="394">
        <f t="shared" si="32"/>
        <v>0</v>
      </c>
      <c r="X68" s="394">
        <f t="shared" si="32"/>
        <v>6000</v>
      </c>
      <c r="Y68" s="394">
        <f t="shared" si="32"/>
        <v>0</v>
      </c>
      <c r="Z68" s="394">
        <f t="shared" si="32"/>
        <v>0</v>
      </c>
      <c r="AA68" s="394">
        <f t="shared" si="32"/>
        <v>0</v>
      </c>
      <c r="AB68" s="394">
        <f t="shared" si="32"/>
        <v>4000</v>
      </c>
      <c r="AC68" s="394">
        <f t="shared" si="32"/>
        <v>0</v>
      </c>
      <c r="AD68" s="394">
        <f t="shared" si="32"/>
        <v>0</v>
      </c>
      <c r="AE68" s="394">
        <f t="shared" si="32"/>
        <v>0</v>
      </c>
      <c r="AF68" s="394">
        <f t="shared" ref="AF68:AG68" si="33">AF69+AF70+AF72</f>
        <v>0</v>
      </c>
      <c r="AG68" s="394">
        <f t="shared" si="33"/>
        <v>0</v>
      </c>
      <c r="AH68" s="394">
        <f t="shared" ref="AH68:AK68" si="34">AH69+AH70+AH72</f>
        <v>4000</v>
      </c>
      <c r="AI68" s="394">
        <f t="shared" si="34"/>
        <v>0</v>
      </c>
      <c r="AJ68" s="394">
        <f t="shared" si="34"/>
        <v>0</v>
      </c>
      <c r="AK68" s="394">
        <f t="shared" si="34"/>
        <v>0</v>
      </c>
      <c r="AL68" s="393"/>
      <c r="AM68" s="400">
        <f t="shared" si="4"/>
        <v>0</v>
      </c>
      <c r="AO68" s="397"/>
      <c r="AP68" s="397"/>
      <c r="AQ68" s="397"/>
      <c r="AR68" s="397"/>
      <c r="AS68" s="397"/>
      <c r="AT68" s="397"/>
      <c r="AU68" s="397"/>
      <c r="AV68" s="397"/>
      <c r="AW68" s="397"/>
    </row>
    <row r="69" spans="1:49" s="414" customFormat="1" ht="75" customHeight="1">
      <c r="A69" s="416" t="s">
        <v>120</v>
      </c>
      <c r="B69" s="417" t="s">
        <v>1195</v>
      </c>
      <c r="C69" s="412"/>
      <c r="D69" s="282"/>
      <c r="E69" s="282"/>
      <c r="F69" s="412" t="s">
        <v>975</v>
      </c>
      <c r="G69" s="282"/>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339">
        <f t="shared" si="2"/>
        <v>0</v>
      </c>
      <c r="AG69" s="339">
        <f t="shared" si="3"/>
        <v>0</v>
      </c>
      <c r="AH69" s="407"/>
      <c r="AI69" s="407"/>
      <c r="AJ69" s="407"/>
      <c r="AK69" s="407"/>
      <c r="AL69" s="412"/>
      <c r="AM69" s="400">
        <f t="shared" si="4"/>
        <v>0</v>
      </c>
      <c r="AO69" s="415"/>
      <c r="AP69" s="415"/>
      <c r="AQ69" s="415"/>
      <c r="AR69" s="415"/>
      <c r="AS69" s="415"/>
      <c r="AT69" s="415"/>
      <c r="AU69" s="415"/>
      <c r="AV69" s="415"/>
      <c r="AW69" s="415"/>
    </row>
    <row r="70" spans="1:49" s="414" customFormat="1" ht="34.5">
      <c r="A70" s="404" t="s">
        <v>122</v>
      </c>
      <c r="B70" s="405" t="s">
        <v>1183</v>
      </c>
      <c r="C70" s="412"/>
      <c r="D70" s="282"/>
      <c r="E70" s="282"/>
      <c r="F70" s="412" t="s">
        <v>975</v>
      </c>
      <c r="G70" s="284"/>
      <c r="H70" s="407">
        <f>H71</f>
        <v>10500</v>
      </c>
      <c r="I70" s="407">
        <f t="shared" ref="I70:AG70" si="35">I71</f>
        <v>10500</v>
      </c>
      <c r="J70" s="407">
        <f t="shared" si="35"/>
        <v>5000</v>
      </c>
      <c r="K70" s="407">
        <f t="shared" si="35"/>
        <v>5000</v>
      </c>
      <c r="L70" s="407">
        <f t="shared" si="35"/>
        <v>3856.9780000000001</v>
      </c>
      <c r="M70" s="407">
        <f t="shared" si="35"/>
        <v>3856.9780000000001</v>
      </c>
      <c r="N70" s="407">
        <f t="shared" si="35"/>
        <v>3856.9780000000001</v>
      </c>
      <c r="O70" s="407">
        <f t="shared" si="35"/>
        <v>3856.9780000000001</v>
      </c>
      <c r="P70" s="407">
        <f t="shared" si="35"/>
        <v>5000</v>
      </c>
      <c r="Q70" s="407">
        <f t="shared" si="35"/>
        <v>5000</v>
      </c>
      <c r="R70" s="407">
        <f t="shared" si="35"/>
        <v>6000</v>
      </c>
      <c r="S70" s="407">
        <f t="shared" si="35"/>
        <v>6000</v>
      </c>
      <c r="T70" s="407">
        <f t="shared" si="35"/>
        <v>10000</v>
      </c>
      <c r="U70" s="407">
        <f t="shared" si="35"/>
        <v>0</v>
      </c>
      <c r="V70" s="407">
        <f t="shared" si="35"/>
        <v>0</v>
      </c>
      <c r="W70" s="407">
        <f t="shared" si="35"/>
        <v>0</v>
      </c>
      <c r="X70" s="407">
        <f t="shared" si="35"/>
        <v>6000</v>
      </c>
      <c r="Y70" s="407">
        <f t="shared" si="35"/>
        <v>0</v>
      </c>
      <c r="Z70" s="407">
        <f t="shared" si="35"/>
        <v>0</v>
      </c>
      <c r="AA70" s="407">
        <f t="shared" si="35"/>
        <v>0</v>
      </c>
      <c r="AB70" s="407">
        <f t="shared" si="35"/>
        <v>4000</v>
      </c>
      <c r="AC70" s="407">
        <f t="shared" si="35"/>
        <v>0</v>
      </c>
      <c r="AD70" s="407">
        <f t="shared" si="35"/>
        <v>0</v>
      </c>
      <c r="AE70" s="407">
        <f t="shared" si="35"/>
        <v>0</v>
      </c>
      <c r="AF70" s="407">
        <f t="shared" si="35"/>
        <v>0</v>
      </c>
      <c r="AG70" s="407">
        <f t="shared" si="35"/>
        <v>0</v>
      </c>
      <c r="AH70" s="407">
        <f t="shared" ref="AH70:AK70" si="36">AH71</f>
        <v>4000</v>
      </c>
      <c r="AI70" s="407">
        <f t="shared" si="36"/>
        <v>0</v>
      </c>
      <c r="AJ70" s="407">
        <f t="shared" si="36"/>
        <v>0</v>
      </c>
      <c r="AK70" s="407">
        <f t="shared" si="36"/>
        <v>0</v>
      </c>
      <c r="AL70" s="412"/>
      <c r="AM70" s="400">
        <f t="shared" si="4"/>
        <v>0</v>
      </c>
      <c r="AO70" s="415"/>
      <c r="AP70" s="415"/>
      <c r="AQ70" s="415"/>
      <c r="AR70" s="415"/>
      <c r="AS70" s="415"/>
      <c r="AT70" s="415"/>
      <c r="AU70" s="415"/>
      <c r="AV70" s="415"/>
      <c r="AW70" s="415"/>
    </row>
    <row r="71" spans="1:49" s="390" customFormat="1" ht="78.75" customHeight="1">
      <c r="A71" s="402">
        <v>1</v>
      </c>
      <c r="B71" s="399" t="s">
        <v>438</v>
      </c>
      <c r="C71" s="388" t="s">
        <v>39</v>
      </c>
      <c r="D71" s="260"/>
      <c r="E71" s="260"/>
      <c r="F71" s="388" t="s">
        <v>975</v>
      </c>
      <c r="G71" s="260" t="s">
        <v>1196</v>
      </c>
      <c r="H71" s="339">
        <v>10500</v>
      </c>
      <c r="I71" s="339">
        <v>10500</v>
      </c>
      <c r="J71" s="339">
        <v>5000</v>
      </c>
      <c r="K71" s="339">
        <v>5000</v>
      </c>
      <c r="L71" s="339">
        <v>3856.9780000000001</v>
      </c>
      <c r="M71" s="339">
        <v>3856.9780000000001</v>
      </c>
      <c r="N71" s="339">
        <v>3856.9780000000001</v>
      </c>
      <c r="O71" s="339">
        <v>3856.9780000000001</v>
      </c>
      <c r="P71" s="339">
        <v>5000</v>
      </c>
      <c r="Q71" s="339">
        <v>5000</v>
      </c>
      <c r="R71" s="339">
        <v>6000</v>
      </c>
      <c r="S71" s="339">
        <v>6000</v>
      </c>
      <c r="T71" s="339">
        <v>10000</v>
      </c>
      <c r="U71" s="339"/>
      <c r="V71" s="339"/>
      <c r="W71" s="339"/>
      <c r="X71" s="339">
        <v>6000</v>
      </c>
      <c r="Y71" s="339"/>
      <c r="Z71" s="339"/>
      <c r="AA71" s="339"/>
      <c r="AB71" s="339">
        <v>4000</v>
      </c>
      <c r="AC71" s="339"/>
      <c r="AD71" s="339"/>
      <c r="AE71" s="339"/>
      <c r="AF71" s="339">
        <f t="shared" si="2"/>
        <v>0</v>
      </c>
      <c r="AG71" s="339">
        <f t="shared" si="3"/>
        <v>0</v>
      </c>
      <c r="AH71" s="339">
        <v>4000</v>
      </c>
      <c r="AI71" s="339"/>
      <c r="AJ71" s="339"/>
      <c r="AK71" s="339"/>
      <c r="AL71" s="388"/>
      <c r="AM71" s="400">
        <f t="shared" si="4"/>
        <v>0</v>
      </c>
      <c r="AO71" s="391"/>
      <c r="AP71" s="391"/>
      <c r="AQ71" s="391">
        <v>1</v>
      </c>
      <c r="AR71" s="391"/>
      <c r="AS71" s="391"/>
      <c r="AT71" s="391"/>
      <c r="AU71" s="391"/>
      <c r="AV71" s="391">
        <v>1</v>
      </c>
      <c r="AW71" s="391" t="s">
        <v>1197</v>
      </c>
    </row>
    <row r="72" spans="1:49" s="414" customFormat="1">
      <c r="A72" s="404" t="s">
        <v>350</v>
      </c>
      <c r="B72" s="405" t="s">
        <v>1192</v>
      </c>
      <c r="C72" s="412"/>
      <c r="D72" s="282"/>
      <c r="E72" s="282"/>
      <c r="F72" s="412"/>
      <c r="G72" s="282"/>
      <c r="H72" s="407">
        <f>H73</f>
        <v>9600</v>
      </c>
      <c r="I72" s="407">
        <f t="shared" ref="I72:AG72" si="37">I73</f>
        <v>9600</v>
      </c>
      <c r="J72" s="407">
        <f t="shared" si="37"/>
        <v>0</v>
      </c>
      <c r="K72" s="407">
        <f t="shared" si="37"/>
        <v>0</v>
      </c>
      <c r="L72" s="407">
        <f t="shared" si="37"/>
        <v>0</v>
      </c>
      <c r="M72" s="407">
        <f t="shared" si="37"/>
        <v>0</v>
      </c>
      <c r="N72" s="407">
        <f t="shared" si="37"/>
        <v>0</v>
      </c>
      <c r="O72" s="407">
        <f t="shared" si="37"/>
        <v>0</v>
      </c>
      <c r="P72" s="407">
        <f t="shared" si="37"/>
        <v>0</v>
      </c>
      <c r="Q72" s="407">
        <f t="shared" si="37"/>
        <v>0</v>
      </c>
      <c r="R72" s="407">
        <f t="shared" si="37"/>
        <v>0</v>
      </c>
      <c r="S72" s="407">
        <f t="shared" si="37"/>
        <v>0</v>
      </c>
      <c r="T72" s="407">
        <f t="shared" si="37"/>
        <v>0</v>
      </c>
      <c r="U72" s="407">
        <f t="shared" si="37"/>
        <v>0</v>
      </c>
      <c r="V72" s="407">
        <f t="shared" si="37"/>
        <v>0</v>
      </c>
      <c r="W72" s="407">
        <f t="shared" si="37"/>
        <v>0</v>
      </c>
      <c r="X72" s="407">
        <f t="shared" si="37"/>
        <v>0</v>
      </c>
      <c r="Y72" s="407">
        <f t="shared" si="37"/>
        <v>0</v>
      </c>
      <c r="Z72" s="407">
        <f t="shared" si="37"/>
        <v>0</v>
      </c>
      <c r="AA72" s="407">
        <f t="shared" si="37"/>
        <v>0</v>
      </c>
      <c r="AB72" s="407">
        <f t="shared" si="37"/>
        <v>0</v>
      </c>
      <c r="AC72" s="407">
        <f t="shared" si="37"/>
        <v>0</v>
      </c>
      <c r="AD72" s="407">
        <f t="shared" si="37"/>
        <v>0</v>
      </c>
      <c r="AE72" s="407">
        <f t="shared" si="37"/>
        <v>0</v>
      </c>
      <c r="AF72" s="407">
        <f t="shared" si="37"/>
        <v>0</v>
      </c>
      <c r="AG72" s="407">
        <f t="shared" si="37"/>
        <v>0</v>
      </c>
      <c r="AH72" s="407">
        <f t="shared" ref="AH72:AK72" si="38">AH73</f>
        <v>0</v>
      </c>
      <c r="AI72" s="407">
        <f t="shared" si="38"/>
        <v>0</v>
      </c>
      <c r="AJ72" s="407">
        <f t="shared" si="38"/>
        <v>0</v>
      </c>
      <c r="AK72" s="407">
        <f t="shared" si="38"/>
        <v>0</v>
      </c>
      <c r="AL72" s="412"/>
      <c r="AM72" s="400">
        <f t="shared" si="4"/>
        <v>0</v>
      </c>
      <c r="AO72" s="415"/>
      <c r="AP72" s="415"/>
      <c r="AQ72" s="415"/>
      <c r="AR72" s="415"/>
      <c r="AS72" s="415"/>
      <c r="AT72" s="415"/>
      <c r="AU72" s="415"/>
      <c r="AV72" s="415"/>
      <c r="AW72" s="415"/>
    </row>
    <row r="73" spans="1:49" s="390" customFormat="1" ht="71.25" customHeight="1">
      <c r="A73" s="402" t="s">
        <v>144</v>
      </c>
      <c r="B73" s="399" t="s">
        <v>439</v>
      </c>
      <c r="C73" s="388" t="s">
        <v>39</v>
      </c>
      <c r="D73" s="260"/>
      <c r="E73" s="260"/>
      <c r="F73" s="388"/>
      <c r="G73" s="260" t="s">
        <v>1198</v>
      </c>
      <c r="H73" s="339">
        <v>9600</v>
      </c>
      <c r="I73" s="339">
        <v>9600</v>
      </c>
      <c r="J73" s="339"/>
      <c r="K73" s="339"/>
      <c r="L73" s="339"/>
      <c r="M73" s="339"/>
      <c r="N73" s="339"/>
      <c r="O73" s="339"/>
      <c r="P73" s="339"/>
      <c r="Q73" s="339"/>
      <c r="R73" s="339"/>
      <c r="S73" s="339"/>
      <c r="T73" s="339">
        <v>0</v>
      </c>
      <c r="U73" s="339"/>
      <c r="V73" s="339"/>
      <c r="W73" s="339"/>
      <c r="X73" s="339"/>
      <c r="Y73" s="339"/>
      <c r="Z73" s="339"/>
      <c r="AA73" s="339"/>
      <c r="AB73" s="339">
        <v>0</v>
      </c>
      <c r="AC73" s="339"/>
      <c r="AD73" s="339"/>
      <c r="AE73" s="339"/>
      <c r="AF73" s="339">
        <f t="shared" si="2"/>
        <v>0</v>
      </c>
      <c r="AG73" s="339">
        <f t="shared" si="3"/>
        <v>0</v>
      </c>
      <c r="AH73" s="339">
        <v>0</v>
      </c>
      <c r="AI73" s="339"/>
      <c r="AJ73" s="339"/>
      <c r="AK73" s="339"/>
      <c r="AL73" s="388" t="s">
        <v>1177</v>
      </c>
      <c r="AM73" s="400">
        <f t="shared" si="4"/>
        <v>0</v>
      </c>
      <c r="AO73" s="391"/>
      <c r="AP73" s="391"/>
      <c r="AQ73" s="391"/>
      <c r="AR73" s="391"/>
      <c r="AS73" s="391">
        <v>1</v>
      </c>
      <c r="AT73" s="391"/>
      <c r="AU73" s="391"/>
      <c r="AV73" s="391"/>
      <c r="AW73" s="391"/>
    </row>
    <row r="74" spans="1:49" s="396" customFormat="1" ht="48.75" customHeight="1">
      <c r="A74" s="269" t="s">
        <v>122</v>
      </c>
      <c r="B74" s="270" t="s">
        <v>440</v>
      </c>
      <c r="C74" s="393"/>
      <c r="D74" s="261"/>
      <c r="E74" s="261"/>
      <c r="F74" s="393" t="s">
        <v>975</v>
      </c>
      <c r="G74" s="261"/>
      <c r="H74" s="394">
        <f t="shared" ref="H74:AG74" si="39">H75+H76</f>
        <v>128352</v>
      </c>
      <c r="I74" s="394">
        <f t="shared" si="39"/>
        <v>69450</v>
      </c>
      <c r="J74" s="394">
        <f t="shared" si="39"/>
        <v>0</v>
      </c>
      <c r="K74" s="394">
        <f t="shared" si="39"/>
        <v>0</v>
      </c>
      <c r="L74" s="394">
        <f t="shared" si="39"/>
        <v>0</v>
      </c>
      <c r="M74" s="394">
        <f t="shared" si="39"/>
        <v>0</v>
      </c>
      <c r="N74" s="394">
        <f t="shared" si="39"/>
        <v>0</v>
      </c>
      <c r="O74" s="394">
        <f t="shared" si="39"/>
        <v>0</v>
      </c>
      <c r="P74" s="394">
        <f t="shared" si="39"/>
        <v>0</v>
      </c>
      <c r="Q74" s="394">
        <f t="shared" si="39"/>
        <v>0</v>
      </c>
      <c r="R74" s="394">
        <f t="shared" si="39"/>
        <v>0</v>
      </c>
      <c r="S74" s="394">
        <f t="shared" si="39"/>
        <v>0</v>
      </c>
      <c r="T74" s="394">
        <f t="shared" si="39"/>
        <v>0</v>
      </c>
      <c r="U74" s="394">
        <f t="shared" si="39"/>
        <v>0</v>
      </c>
      <c r="V74" s="394">
        <f t="shared" si="39"/>
        <v>0</v>
      </c>
      <c r="W74" s="394">
        <f t="shared" si="39"/>
        <v>0</v>
      </c>
      <c r="X74" s="394">
        <f t="shared" si="39"/>
        <v>0</v>
      </c>
      <c r="Y74" s="394">
        <f t="shared" si="39"/>
        <v>0</v>
      </c>
      <c r="Z74" s="394">
        <f t="shared" si="39"/>
        <v>0</v>
      </c>
      <c r="AA74" s="394">
        <f t="shared" si="39"/>
        <v>0</v>
      </c>
      <c r="AB74" s="394">
        <f t="shared" si="39"/>
        <v>0</v>
      </c>
      <c r="AC74" s="394">
        <f t="shared" si="39"/>
        <v>0</v>
      </c>
      <c r="AD74" s="394">
        <f t="shared" si="39"/>
        <v>0</v>
      </c>
      <c r="AE74" s="394">
        <f t="shared" si="39"/>
        <v>0</v>
      </c>
      <c r="AF74" s="394">
        <f t="shared" si="39"/>
        <v>0</v>
      </c>
      <c r="AG74" s="394">
        <f t="shared" si="39"/>
        <v>0</v>
      </c>
      <c r="AH74" s="394">
        <f t="shared" ref="AH74:AK74" si="40">AH75+AH76</f>
        <v>0</v>
      </c>
      <c r="AI74" s="394">
        <f t="shared" si="40"/>
        <v>0</v>
      </c>
      <c r="AJ74" s="394">
        <f t="shared" si="40"/>
        <v>0</v>
      </c>
      <c r="AK74" s="394">
        <f t="shared" si="40"/>
        <v>0</v>
      </c>
      <c r="AL74" s="393"/>
      <c r="AM74" s="400">
        <f t="shared" si="4"/>
        <v>0</v>
      </c>
      <c r="AO74" s="397"/>
      <c r="AP74" s="397"/>
      <c r="AQ74" s="397"/>
      <c r="AR74" s="397"/>
      <c r="AS74" s="397"/>
      <c r="AT74" s="397"/>
      <c r="AU74" s="397"/>
      <c r="AV74" s="397"/>
      <c r="AW74" s="397"/>
    </row>
    <row r="75" spans="1:49" s="414" customFormat="1" ht="72.75" customHeight="1">
      <c r="A75" s="416" t="s">
        <v>120</v>
      </c>
      <c r="B75" s="417" t="s">
        <v>1195</v>
      </c>
      <c r="C75" s="412"/>
      <c r="D75" s="282"/>
      <c r="E75" s="282"/>
      <c r="F75" s="412" t="s">
        <v>975</v>
      </c>
      <c r="G75" s="282"/>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339">
        <f t="shared" ref="AF75:AF131" si="41">IF(AH75&gt;AB75,AH75-AB75,0)</f>
        <v>0</v>
      </c>
      <c r="AG75" s="339">
        <f t="shared" ref="AG75:AG131" si="42">IF(AB75&gt;AH75,AB75-AH75,0)</f>
        <v>0</v>
      </c>
      <c r="AH75" s="407"/>
      <c r="AI75" s="407"/>
      <c r="AJ75" s="407"/>
      <c r="AK75" s="407"/>
      <c r="AL75" s="412"/>
      <c r="AM75" s="400">
        <f t="shared" si="4"/>
        <v>0</v>
      </c>
      <c r="AO75" s="415"/>
      <c r="AP75" s="415"/>
      <c r="AQ75" s="415"/>
      <c r="AR75" s="415"/>
      <c r="AS75" s="415"/>
      <c r="AT75" s="415"/>
      <c r="AU75" s="415"/>
      <c r="AV75" s="415"/>
      <c r="AW75" s="415"/>
    </row>
    <row r="76" spans="1:49" s="414" customFormat="1" ht="45" customHeight="1">
      <c r="A76" s="404" t="s">
        <v>122</v>
      </c>
      <c r="B76" s="405" t="s">
        <v>1192</v>
      </c>
      <c r="C76" s="412"/>
      <c r="D76" s="282"/>
      <c r="E76" s="310"/>
      <c r="F76" s="412"/>
      <c r="G76" s="282"/>
      <c r="H76" s="407">
        <f>SUM(H77:H87)</f>
        <v>128352</v>
      </c>
      <c r="I76" s="407">
        <f t="shared" ref="I76:AG76" si="43">SUM(I77:I87)</f>
        <v>69450</v>
      </c>
      <c r="J76" s="407">
        <f t="shared" si="43"/>
        <v>0</v>
      </c>
      <c r="K76" s="407">
        <f t="shared" si="43"/>
        <v>0</v>
      </c>
      <c r="L76" s="407">
        <f t="shared" si="43"/>
        <v>0</v>
      </c>
      <c r="M76" s="407">
        <f t="shared" si="43"/>
        <v>0</v>
      </c>
      <c r="N76" s="407">
        <f t="shared" si="43"/>
        <v>0</v>
      </c>
      <c r="O76" s="407">
        <f t="shared" si="43"/>
        <v>0</v>
      </c>
      <c r="P76" s="407">
        <f t="shared" si="43"/>
        <v>0</v>
      </c>
      <c r="Q76" s="407">
        <f t="shared" si="43"/>
        <v>0</v>
      </c>
      <c r="R76" s="407">
        <f t="shared" si="43"/>
        <v>0</v>
      </c>
      <c r="S76" s="407">
        <f t="shared" si="43"/>
        <v>0</v>
      </c>
      <c r="T76" s="407">
        <f t="shared" si="43"/>
        <v>0</v>
      </c>
      <c r="U76" s="407">
        <f t="shared" si="43"/>
        <v>0</v>
      </c>
      <c r="V76" s="407">
        <f t="shared" si="43"/>
        <v>0</v>
      </c>
      <c r="W76" s="407">
        <f t="shared" si="43"/>
        <v>0</v>
      </c>
      <c r="X76" s="407">
        <f t="shared" si="43"/>
        <v>0</v>
      </c>
      <c r="Y76" s="407">
        <f t="shared" si="43"/>
        <v>0</v>
      </c>
      <c r="Z76" s="407">
        <f t="shared" si="43"/>
        <v>0</v>
      </c>
      <c r="AA76" s="407">
        <f t="shared" si="43"/>
        <v>0</v>
      </c>
      <c r="AB76" s="407">
        <f t="shared" si="43"/>
        <v>0</v>
      </c>
      <c r="AC76" s="407">
        <f t="shared" si="43"/>
        <v>0</v>
      </c>
      <c r="AD76" s="407">
        <f t="shared" si="43"/>
        <v>0</v>
      </c>
      <c r="AE76" s="407">
        <f t="shared" si="43"/>
        <v>0</v>
      </c>
      <c r="AF76" s="407">
        <f t="shared" si="43"/>
        <v>0</v>
      </c>
      <c r="AG76" s="407">
        <f t="shared" si="43"/>
        <v>0</v>
      </c>
      <c r="AH76" s="407">
        <f t="shared" ref="AH76:AK76" si="44">SUM(AH77:AH87)</f>
        <v>0</v>
      </c>
      <c r="AI76" s="407">
        <f t="shared" si="44"/>
        <v>0</v>
      </c>
      <c r="AJ76" s="407">
        <f t="shared" si="44"/>
        <v>0</v>
      </c>
      <c r="AK76" s="407">
        <f t="shared" si="44"/>
        <v>0</v>
      </c>
      <c r="AL76" s="412"/>
      <c r="AM76" s="400">
        <f t="shared" si="4"/>
        <v>0</v>
      </c>
      <c r="AO76" s="415"/>
      <c r="AP76" s="415"/>
      <c r="AQ76" s="415"/>
      <c r="AR76" s="415"/>
      <c r="AS76" s="415"/>
      <c r="AT76" s="415"/>
      <c r="AU76" s="415"/>
      <c r="AV76" s="415"/>
      <c r="AW76" s="415"/>
    </row>
    <row r="77" spans="1:49" s="390" customFormat="1" ht="122.25" customHeight="1">
      <c r="A77" s="402" t="s">
        <v>144</v>
      </c>
      <c r="B77" s="399" t="s">
        <v>985</v>
      </c>
      <c r="C77" s="388"/>
      <c r="D77" s="260"/>
      <c r="E77" s="294"/>
      <c r="F77" s="388"/>
      <c r="G77" s="260" t="s">
        <v>1199</v>
      </c>
      <c r="H77" s="186">
        <v>14950</v>
      </c>
      <c r="I77" s="186">
        <v>7450</v>
      </c>
      <c r="J77" s="186"/>
      <c r="K77" s="186"/>
      <c r="L77" s="403"/>
      <c r="M77" s="403"/>
      <c r="N77" s="403"/>
      <c r="O77" s="403"/>
      <c r="P77" s="403"/>
      <c r="Q77" s="403"/>
      <c r="R77" s="403"/>
      <c r="S77" s="403"/>
      <c r="T77" s="403">
        <v>0</v>
      </c>
      <c r="U77" s="339"/>
      <c r="V77" s="339"/>
      <c r="W77" s="339"/>
      <c r="X77" s="339"/>
      <c r="Y77" s="339"/>
      <c r="Z77" s="339"/>
      <c r="AA77" s="339"/>
      <c r="AB77" s="339">
        <v>0</v>
      </c>
      <c r="AC77" s="339"/>
      <c r="AD77" s="339"/>
      <c r="AE77" s="339"/>
      <c r="AF77" s="339">
        <f t="shared" si="41"/>
        <v>0</v>
      </c>
      <c r="AG77" s="339">
        <f t="shared" si="42"/>
        <v>0</v>
      </c>
      <c r="AH77" s="339">
        <v>0</v>
      </c>
      <c r="AI77" s="339"/>
      <c r="AJ77" s="339"/>
      <c r="AK77" s="339"/>
      <c r="AL77" s="388" t="s">
        <v>1177</v>
      </c>
      <c r="AM77" s="400">
        <f t="shared" si="4"/>
        <v>0</v>
      </c>
      <c r="AO77" s="391"/>
      <c r="AP77" s="391"/>
      <c r="AQ77" s="391"/>
      <c r="AR77" s="391"/>
      <c r="AS77" s="391">
        <v>1</v>
      </c>
      <c r="AT77" s="391"/>
      <c r="AU77" s="391"/>
      <c r="AV77" s="391"/>
      <c r="AW77" s="391"/>
    </row>
    <row r="78" spans="1:49" s="390" customFormat="1" ht="92.25" customHeight="1">
      <c r="A78" s="402" t="s">
        <v>547</v>
      </c>
      <c r="B78" s="399" t="s">
        <v>986</v>
      </c>
      <c r="C78" s="388"/>
      <c r="D78" s="260"/>
      <c r="E78" s="294"/>
      <c r="F78" s="388"/>
      <c r="G78" s="260" t="s">
        <v>1200</v>
      </c>
      <c r="H78" s="186">
        <v>14950</v>
      </c>
      <c r="I78" s="186">
        <v>7450</v>
      </c>
      <c r="J78" s="186"/>
      <c r="K78" s="186"/>
      <c r="L78" s="403"/>
      <c r="M78" s="403"/>
      <c r="N78" s="403"/>
      <c r="O78" s="403"/>
      <c r="P78" s="403"/>
      <c r="Q78" s="403"/>
      <c r="R78" s="403"/>
      <c r="S78" s="403"/>
      <c r="T78" s="403">
        <v>0</v>
      </c>
      <c r="U78" s="339"/>
      <c r="V78" s="339"/>
      <c r="W78" s="339"/>
      <c r="X78" s="339"/>
      <c r="Y78" s="339"/>
      <c r="Z78" s="339"/>
      <c r="AA78" s="339"/>
      <c r="AB78" s="339">
        <v>0</v>
      </c>
      <c r="AC78" s="339"/>
      <c r="AD78" s="339"/>
      <c r="AE78" s="339"/>
      <c r="AF78" s="339">
        <f t="shared" si="41"/>
        <v>0</v>
      </c>
      <c r="AG78" s="339">
        <f t="shared" si="42"/>
        <v>0</v>
      </c>
      <c r="AH78" s="339">
        <v>0</v>
      </c>
      <c r="AI78" s="339"/>
      <c r="AJ78" s="339"/>
      <c r="AK78" s="339"/>
      <c r="AL78" s="388" t="s">
        <v>1177</v>
      </c>
      <c r="AM78" s="400">
        <f t="shared" si="4"/>
        <v>0</v>
      </c>
      <c r="AO78" s="391"/>
      <c r="AP78" s="391"/>
      <c r="AQ78" s="391"/>
      <c r="AR78" s="391"/>
      <c r="AS78" s="391">
        <v>1</v>
      </c>
      <c r="AT78" s="391"/>
      <c r="AU78" s="391"/>
      <c r="AV78" s="391"/>
      <c r="AW78" s="391"/>
    </row>
    <row r="79" spans="1:49" s="390" customFormat="1" ht="96.75" customHeight="1">
      <c r="A79" s="402" t="s">
        <v>214</v>
      </c>
      <c r="B79" s="399" t="s">
        <v>987</v>
      </c>
      <c r="C79" s="388"/>
      <c r="D79" s="260"/>
      <c r="E79" s="294"/>
      <c r="F79" s="388"/>
      <c r="G79" s="260" t="s">
        <v>1201</v>
      </c>
      <c r="H79" s="186">
        <v>12000</v>
      </c>
      <c r="I79" s="186">
        <v>6000</v>
      </c>
      <c r="J79" s="186"/>
      <c r="K79" s="186"/>
      <c r="L79" s="403"/>
      <c r="M79" s="403"/>
      <c r="N79" s="403"/>
      <c r="O79" s="403"/>
      <c r="P79" s="403"/>
      <c r="Q79" s="403"/>
      <c r="R79" s="403"/>
      <c r="S79" s="403"/>
      <c r="T79" s="403">
        <v>0</v>
      </c>
      <c r="U79" s="339"/>
      <c r="V79" s="339"/>
      <c r="W79" s="339"/>
      <c r="X79" s="339"/>
      <c r="Y79" s="339"/>
      <c r="Z79" s="339"/>
      <c r="AA79" s="339"/>
      <c r="AB79" s="339">
        <v>0</v>
      </c>
      <c r="AC79" s="339"/>
      <c r="AD79" s="339"/>
      <c r="AE79" s="339"/>
      <c r="AF79" s="339">
        <f t="shared" si="41"/>
        <v>0</v>
      </c>
      <c r="AG79" s="339">
        <f t="shared" si="42"/>
        <v>0</v>
      </c>
      <c r="AH79" s="339">
        <v>0</v>
      </c>
      <c r="AI79" s="339"/>
      <c r="AJ79" s="339"/>
      <c r="AK79" s="339"/>
      <c r="AL79" s="388" t="s">
        <v>1177</v>
      </c>
      <c r="AM79" s="400">
        <f t="shared" si="4"/>
        <v>0</v>
      </c>
      <c r="AO79" s="391"/>
      <c r="AP79" s="391"/>
      <c r="AQ79" s="391"/>
      <c r="AR79" s="391"/>
      <c r="AS79" s="391">
        <v>1</v>
      </c>
      <c r="AT79" s="391"/>
      <c r="AU79" s="391"/>
      <c r="AV79" s="391"/>
      <c r="AW79" s="391"/>
    </row>
    <row r="80" spans="1:49" s="390" customFormat="1" ht="91.15" customHeight="1">
      <c r="A80" s="402" t="s">
        <v>967</v>
      </c>
      <c r="B80" s="399" t="s">
        <v>988</v>
      </c>
      <c r="C80" s="388"/>
      <c r="D80" s="260"/>
      <c r="E80" s="294"/>
      <c r="F80" s="388"/>
      <c r="G80" s="260" t="s">
        <v>1202</v>
      </c>
      <c r="H80" s="186">
        <v>12000</v>
      </c>
      <c r="I80" s="186">
        <v>6000</v>
      </c>
      <c r="J80" s="186"/>
      <c r="K80" s="186"/>
      <c r="L80" s="403"/>
      <c r="M80" s="403"/>
      <c r="N80" s="403"/>
      <c r="O80" s="403"/>
      <c r="P80" s="403"/>
      <c r="Q80" s="403"/>
      <c r="R80" s="403"/>
      <c r="S80" s="403"/>
      <c r="T80" s="403">
        <v>0</v>
      </c>
      <c r="U80" s="339"/>
      <c r="V80" s="339"/>
      <c r="W80" s="339"/>
      <c r="X80" s="339"/>
      <c r="Y80" s="339"/>
      <c r="Z80" s="339"/>
      <c r="AA80" s="339"/>
      <c r="AB80" s="339">
        <v>0</v>
      </c>
      <c r="AC80" s="339"/>
      <c r="AD80" s="339"/>
      <c r="AE80" s="339"/>
      <c r="AF80" s="339">
        <f t="shared" si="41"/>
        <v>0</v>
      </c>
      <c r="AG80" s="339">
        <f t="shared" si="42"/>
        <v>0</v>
      </c>
      <c r="AH80" s="339">
        <v>0</v>
      </c>
      <c r="AI80" s="339"/>
      <c r="AJ80" s="339"/>
      <c r="AK80" s="339"/>
      <c r="AL80" s="388" t="s">
        <v>1177</v>
      </c>
      <c r="AM80" s="400">
        <f t="shared" si="4"/>
        <v>0</v>
      </c>
      <c r="AO80" s="391"/>
      <c r="AP80" s="391"/>
      <c r="AQ80" s="391"/>
      <c r="AR80" s="391"/>
      <c r="AS80" s="391">
        <v>1</v>
      </c>
      <c r="AT80" s="391"/>
      <c r="AU80" s="391"/>
      <c r="AV80" s="391"/>
      <c r="AW80" s="391"/>
    </row>
    <row r="81" spans="1:49" s="390" customFormat="1" ht="94.5" customHeight="1">
      <c r="A81" s="402" t="s">
        <v>968</v>
      </c>
      <c r="B81" s="399" t="s">
        <v>989</v>
      </c>
      <c r="C81" s="388"/>
      <c r="D81" s="260"/>
      <c r="E81" s="294"/>
      <c r="F81" s="388"/>
      <c r="G81" s="260" t="s">
        <v>1203</v>
      </c>
      <c r="H81" s="186">
        <v>14950</v>
      </c>
      <c r="I81" s="186">
        <v>7450</v>
      </c>
      <c r="J81" s="186"/>
      <c r="K81" s="186"/>
      <c r="L81" s="403"/>
      <c r="M81" s="403"/>
      <c r="N81" s="403"/>
      <c r="O81" s="403"/>
      <c r="P81" s="403"/>
      <c r="Q81" s="403"/>
      <c r="R81" s="403"/>
      <c r="S81" s="403"/>
      <c r="T81" s="403">
        <v>0</v>
      </c>
      <c r="U81" s="339"/>
      <c r="V81" s="339"/>
      <c r="W81" s="339"/>
      <c r="X81" s="339"/>
      <c r="Y81" s="339"/>
      <c r="Z81" s="339"/>
      <c r="AA81" s="339"/>
      <c r="AB81" s="339">
        <v>0</v>
      </c>
      <c r="AC81" s="339"/>
      <c r="AD81" s="339"/>
      <c r="AE81" s="339"/>
      <c r="AF81" s="339">
        <f t="shared" si="41"/>
        <v>0</v>
      </c>
      <c r="AG81" s="339">
        <f t="shared" si="42"/>
        <v>0</v>
      </c>
      <c r="AH81" s="339">
        <v>0</v>
      </c>
      <c r="AI81" s="339"/>
      <c r="AJ81" s="339"/>
      <c r="AK81" s="339"/>
      <c r="AL81" s="388" t="s">
        <v>1177</v>
      </c>
      <c r="AM81" s="400">
        <f t="shared" si="4"/>
        <v>0</v>
      </c>
      <c r="AO81" s="391"/>
      <c r="AP81" s="391"/>
      <c r="AQ81" s="391"/>
      <c r="AR81" s="391"/>
      <c r="AS81" s="391">
        <v>1</v>
      </c>
      <c r="AT81" s="391"/>
      <c r="AU81" s="391"/>
      <c r="AV81" s="391"/>
      <c r="AW81" s="391"/>
    </row>
    <row r="82" spans="1:49" s="390" customFormat="1" ht="127.5" customHeight="1">
      <c r="A82" s="402" t="s">
        <v>969</v>
      </c>
      <c r="B82" s="399" t="s">
        <v>990</v>
      </c>
      <c r="C82" s="388"/>
      <c r="D82" s="260"/>
      <c r="E82" s="294"/>
      <c r="F82" s="388"/>
      <c r="G82" s="260" t="s">
        <v>1204</v>
      </c>
      <c r="H82" s="186">
        <v>12000</v>
      </c>
      <c r="I82" s="186">
        <v>7500</v>
      </c>
      <c r="J82" s="186"/>
      <c r="K82" s="186"/>
      <c r="L82" s="403"/>
      <c r="M82" s="403"/>
      <c r="N82" s="403"/>
      <c r="O82" s="403"/>
      <c r="P82" s="403"/>
      <c r="Q82" s="403"/>
      <c r="R82" s="403"/>
      <c r="S82" s="403"/>
      <c r="T82" s="403">
        <v>0</v>
      </c>
      <c r="U82" s="339"/>
      <c r="V82" s="339"/>
      <c r="W82" s="339"/>
      <c r="X82" s="339"/>
      <c r="Y82" s="339"/>
      <c r="Z82" s="339"/>
      <c r="AA82" s="339"/>
      <c r="AB82" s="339">
        <v>0</v>
      </c>
      <c r="AC82" s="339"/>
      <c r="AD82" s="339"/>
      <c r="AE82" s="339"/>
      <c r="AF82" s="339">
        <f t="shared" si="41"/>
        <v>0</v>
      </c>
      <c r="AG82" s="339">
        <f t="shared" si="42"/>
        <v>0</v>
      </c>
      <c r="AH82" s="339">
        <v>0</v>
      </c>
      <c r="AI82" s="339"/>
      <c r="AJ82" s="339"/>
      <c r="AK82" s="339"/>
      <c r="AL82" s="388" t="s">
        <v>1177</v>
      </c>
      <c r="AM82" s="400">
        <f t="shared" si="4"/>
        <v>0</v>
      </c>
      <c r="AO82" s="391"/>
      <c r="AP82" s="391"/>
      <c r="AQ82" s="391"/>
      <c r="AR82" s="391"/>
      <c r="AS82" s="391">
        <v>1</v>
      </c>
      <c r="AT82" s="391"/>
      <c r="AU82" s="391"/>
      <c r="AV82" s="391"/>
      <c r="AW82" s="391"/>
    </row>
    <row r="83" spans="1:49" s="390" customFormat="1" ht="142.5" customHeight="1">
      <c r="A83" s="402" t="s">
        <v>970</v>
      </c>
      <c r="B83" s="399" t="s">
        <v>991</v>
      </c>
      <c r="C83" s="388"/>
      <c r="D83" s="260"/>
      <c r="E83" s="294"/>
      <c r="F83" s="388"/>
      <c r="G83" s="260" t="s">
        <v>1205</v>
      </c>
      <c r="H83" s="186">
        <v>12402</v>
      </c>
      <c r="I83" s="186">
        <v>6000</v>
      </c>
      <c r="J83" s="186"/>
      <c r="K83" s="186"/>
      <c r="L83" s="403"/>
      <c r="M83" s="403"/>
      <c r="N83" s="403"/>
      <c r="O83" s="403"/>
      <c r="P83" s="403"/>
      <c r="Q83" s="403"/>
      <c r="R83" s="403"/>
      <c r="S83" s="403"/>
      <c r="T83" s="403">
        <v>0</v>
      </c>
      <c r="U83" s="339"/>
      <c r="V83" s="339"/>
      <c r="W83" s="339"/>
      <c r="X83" s="339"/>
      <c r="Y83" s="339"/>
      <c r="Z83" s="339"/>
      <c r="AA83" s="339"/>
      <c r="AB83" s="339">
        <v>0</v>
      </c>
      <c r="AC83" s="339"/>
      <c r="AD83" s="339"/>
      <c r="AE83" s="339"/>
      <c r="AF83" s="339">
        <f t="shared" si="41"/>
        <v>0</v>
      </c>
      <c r="AG83" s="339">
        <f t="shared" si="42"/>
        <v>0</v>
      </c>
      <c r="AH83" s="339">
        <v>0</v>
      </c>
      <c r="AI83" s="339"/>
      <c r="AJ83" s="339"/>
      <c r="AK83" s="339"/>
      <c r="AL83" s="388" t="s">
        <v>1177</v>
      </c>
      <c r="AM83" s="400">
        <f t="shared" si="4"/>
        <v>0</v>
      </c>
      <c r="AO83" s="391"/>
      <c r="AP83" s="391"/>
      <c r="AQ83" s="391"/>
      <c r="AR83" s="391"/>
      <c r="AS83" s="391">
        <v>1</v>
      </c>
      <c r="AT83" s="391"/>
      <c r="AU83" s="391"/>
      <c r="AV83" s="391"/>
      <c r="AW83" s="391"/>
    </row>
    <row r="84" spans="1:49" s="390" customFormat="1" ht="90" customHeight="1">
      <c r="A84" s="402" t="s">
        <v>971</v>
      </c>
      <c r="B84" s="399" t="s">
        <v>992</v>
      </c>
      <c r="C84" s="388"/>
      <c r="D84" s="260"/>
      <c r="E84" s="294"/>
      <c r="F84" s="388"/>
      <c r="G84" s="260" t="s">
        <v>1206</v>
      </c>
      <c r="H84" s="186">
        <v>12000</v>
      </c>
      <c r="I84" s="186">
        <v>6000</v>
      </c>
      <c r="J84" s="186"/>
      <c r="K84" s="186"/>
      <c r="L84" s="403"/>
      <c r="M84" s="403"/>
      <c r="N84" s="403"/>
      <c r="O84" s="403"/>
      <c r="P84" s="403"/>
      <c r="Q84" s="403"/>
      <c r="R84" s="403"/>
      <c r="S84" s="403"/>
      <c r="T84" s="403">
        <v>0</v>
      </c>
      <c r="U84" s="339"/>
      <c r="V84" s="339"/>
      <c r="W84" s="339"/>
      <c r="X84" s="339"/>
      <c r="Y84" s="339"/>
      <c r="Z84" s="339"/>
      <c r="AA84" s="339"/>
      <c r="AB84" s="339">
        <v>0</v>
      </c>
      <c r="AC84" s="339"/>
      <c r="AD84" s="339"/>
      <c r="AE84" s="339"/>
      <c r="AF84" s="339">
        <f t="shared" si="41"/>
        <v>0</v>
      </c>
      <c r="AG84" s="339">
        <f t="shared" si="42"/>
        <v>0</v>
      </c>
      <c r="AH84" s="339">
        <v>0</v>
      </c>
      <c r="AI84" s="339"/>
      <c r="AJ84" s="339"/>
      <c r="AK84" s="339"/>
      <c r="AL84" s="388" t="s">
        <v>1177</v>
      </c>
      <c r="AM84" s="400">
        <f t="shared" si="4"/>
        <v>0</v>
      </c>
      <c r="AO84" s="391"/>
      <c r="AP84" s="391"/>
      <c r="AQ84" s="391"/>
      <c r="AR84" s="391"/>
      <c r="AS84" s="391">
        <v>1</v>
      </c>
      <c r="AT84" s="391"/>
      <c r="AU84" s="391"/>
      <c r="AV84" s="391"/>
      <c r="AW84" s="391"/>
    </row>
    <row r="85" spans="1:49" s="390" customFormat="1" ht="101.25" customHeight="1">
      <c r="A85" s="402" t="s">
        <v>972</v>
      </c>
      <c r="B85" s="399" t="s">
        <v>993</v>
      </c>
      <c r="C85" s="388"/>
      <c r="D85" s="260"/>
      <c r="E85" s="294"/>
      <c r="F85" s="388"/>
      <c r="G85" s="260" t="s">
        <v>1207</v>
      </c>
      <c r="H85" s="186">
        <v>14950</v>
      </c>
      <c r="I85" s="186">
        <v>7450</v>
      </c>
      <c r="J85" s="186"/>
      <c r="K85" s="186"/>
      <c r="L85" s="403"/>
      <c r="M85" s="403"/>
      <c r="N85" s="403"/>
      <c r="O85" s="403"/>
      <c r="P85" s="403"/>
      <c r="Q85" s="403"/>
      <c r="R85" s="403"/>
      <c r="S85" s="403"/>
      <c r="T85" s="403">
        <v>0</v>
      </c>
      <c r="U85" s="339"/>
      <c r="V85" s="339"/>
      <c r="W85" s="339"/>
      <c r="X85" s="339"/>
      <c r="Y85" s="339"/>
      <c r="Z85" s="339"/>
      <c r="AA85" s="339"/>
      <c r="AB85" s="339">
        <v>0</v>
      </c>
      <c r="AC85" s="339"/>
      <c r="AD85" s="339"/>
      <c r="AE85" s="339"/>
      <c r="AF85" s="339">
        <f t="shared" si="41"/>
        <v>0</v>
      </c>
      <c r="AG85" s="339">
        <f t="shared" si="42"/>
        <v>0</v>
      </c>
      <c r="AH85" s="339">
        <v>0</v>
      </c>
      <c r="AI85" s="339"/>
      <c r="AJ85" s="339"/>
      <c r="AK85" s="339"/>
      <c r="AL85" s="388" t="s">
        <v>1177</v>
      </c>
      <c r="AM85" s="400">
        <f t="shared" si="4"/>
        <v>0</v>
      </c>
      <c r="AO85" s="391"/>
      <c r="AP85" s="391"/>
      <c r="AQ85" s="391"/>
      <c r="AR85" s="391"/>
      <c r="AS85" s="391">
        <v>1</v>
      </c>
      <c r="AT85" s="391"/>
      <c r="AU85" s="391"/>
      <c r="AV85" s="391"/>
      <c r="AW85" s="391"/>
    </row>
    <row r="86" spans="1:49" s="390" customFormat="1" ht="78.75" customHeight="1">
      <c r="A86" s="402" t="s">
        <v>973</v>
      </c>
      <c r="B86" s="399" t="s">
        <v>994</v>
      </c>
      <c r="C86" s="388"/>
      <c r="D86" s="260"/>
      <c r="E86" s="294"/>
      <c r="F86" s="388"/>
      <c r="G86" s="260"/>
      <c r="H86" s="186">
        <v>1500</v>
      </c>
      <c r="I86" s="186">
        <v>1500</v>
      </c>
      <c r="J86" s="186"/>
      <c r="K86" s="186"/>
      <c r="L86" s="403"/>
      <c r="M86" s="403"/>
      <c r="N86" s="403"/>
      <c r="O86" s="403"/>
      <c r="P86" s="403"/>
      <c r="Q86" s="403"/>
      <c r="R86" s="403"/>
      <c r="S86" s="403"/>
      <c r="T86" s="403">
        <v>0</v>
      </c>
      <c r="U86" s="339"/>
      <c r="V86" s="339"/>
      <c r="W86" s="339"/>
      <c r="X86" s="339"/>
      <c r="Y86" s="339"/>
      <c r="Z86" s="339"/>
      <c r="AA86" s="339"/>
      <c r="AB86" s="339">
        <v>0</v>
      </c>
      <c r="AC86" s="339"/>
      <c r="AD86" s="339"/>
      <c r="AE86" s="339"/>
      <c r="AF86" s="339">
        <f t="shared" si="41"/>
        <v>0</v>
      </c>
      <c r="AG86" s="339">
        <f t="shared" si="42"/>
        <v>0</v>
      </c>
      <c r="AH86" s="339">
        <v>0</v>
      </c>
      <c r="AI86" s="339"/>
      <c r="AJ86" s="339"/>
      <c r="AK86" s="339"/>
      <c r="AL86" s="388" t="s">
        <v>1168</v>
      </c>
      <c r="AM86" s="400">
        <f t="shared" si="4"/>
        <v>0</v>
      </c>
      <c r="AO86" s="391"/>
      <c r="AP86" s="391"/>
      <c r="AQ86" s="391"/>
      <c r="AR86" s="391"/>
      <c r="AS86" s="391">
        <v>1</v>
      </c>
      <c r="AT86" s="391"/>
      <c r="AU86" s="391"/>
      <c r="AV86" s="391"/>
      <c r="AW86" s="391"/>
    </row>
    <row r="87" spans="1:49" s="390" customFormat="1" ht="90.75" customHeight="1">
      <c r="A87" s="402" t="s">
        <v>974</v>
      </c>
      <c r="B87" s="399" t="s">
        <v>995</v>
      </c>
      <c r="C87" s="388"/>
      <c r="D87" s="260"/>
      <c r="E87" s="294"/>
      <c r="F87" s="388"/>
      <c r="G87" s="260"/>
      <c r="H87" s="186">
        <v>6650</v>
      </c>
      <c r="I87" s="186">
        <v>6650</v>
      </c>
      <c r="J87" s="186"/>
      <c r="K87" s="186"/>
      <c r="L87" s="403"/>
      <c r="M87" s="403"/>
      <c r="N87" s="403"/>
      <c r="O87" s="403"/>
      <c r="P87" s="403"/>
      <c r="Q87" s="403"/>
      <c r="R87" s="403"/>
      <c r="S87" s="403"/>
      <c r="T87" s="403">
        <v>0</v>
      </c>
      <c r="U87" s="339"/>
      <c r="V87" s="339"/>
      <c r="W87" s="339"/>
      <c r="X87" s="339"/>
      <c r="Y87" s="339"/>
      <c r="Z87" s="339"/>
      <c r="AA87" s="339"/>
      <c r="AB87" s="339">
        <v>0</v>
      </c>
      <c r="AC87" s="339"/>
      <c r="AD87" s="339"/>
      <c r="AE87" s="339"/>
      <c r="AF87" s="339">
        <f t="shared" si="41"/>
        <v>0</v>
      </c>
      <c r="AG87" s="339">
        <f t="shared" si="42"/>
        <v>0</v>
      </c>
      <c r="AH87" s="339">
        <v>0</v>
      </c>
      <c r="AI87" s="339"/>
      <c r="AJ87" s="339"/>
      <c r="AK87" s="339"/>
      <c r="AL87" s="388" t="s">
        <v>1168</v>
      </c>
      <c r="AM87" s="400">
        <f t="shared" si="4"/>
        <v>0</v>
      </c>
      <c r="AO87" s="391"/>
      <c r="AP87" s="391"/>
      <c r="AQ87" s="391"/>
      <c r="AR87" s="391"/>
      <c r="AS87" s="391">
        <v>1</v>
      </c>
      <c r="AT87" s="391"/>
      <c r="AU87" s="391"/>
      <c r="AV87" s="391"/>
      <c r="AW87" s="391"/>
    </row>
    <row r="88" spans="1:49" s="396" customFormat="1" ht="66" customHeight="1">
      <c r="A88" s="269" t="s">
        <v>350</v>
      </c>
      <c r="B88" s="270" t="s">
        <v>444</v>
      </c>
      <c r="C88" s="393"/>
      <c r="D88" s="261"/>
      <c r="E88" s="261"/>
      <c r="F88" s="393" t="s">
        <v>975</v>
      </c>
      <c r="G88" s="261"/>
      <c r="H88" s="394">
        <f>H89+H90+H97+H99+H104</f>
        <v>353900</v>
      </c>
      <c r="I88" s="394">
        <f t="shared" ref="I88:AG88" si="45">I89+I90+I97+I99+I104</f>
        <v>226500</v>
      </c>
      <c r="J88" s="394">
        <f t="shared" si="45"/>
        <v>45000</v>
      </c>
      <c r="K88" s="394">
        <f t="shared" si="45"/>
        <v>45000</v>
      </c>
      <c r="L88" s="394">
        <f t="shared" si="45"/>
        <v>24442.125</v>
      </c>
      <c r="M88" s="394">
        <f t="shared" si="45"/>
        <v>24442.125</v>
      </c>
      <c r="N88" s="394">
        <f t="shared" si="45"/>
        <v>24468.996999999999</v>
      </c>
      <c r="O88" s="394">
        <f t="shared" si="45"/>
        <v>24468.996999999999</v>
      </c>
      <c r="P88" s="394">
        <f t="shared" si="45"/>
        <v>45000</v>
      </c>
      <c r="Q88" s="394">
        <f t="shared" si="45"/>
        <v>45000</v>
      </c>
      <c r="R88" s="394">
        <f t="shared" si="45"/>
        <v>130610</v>
      </c>
      <c r="S88" s="394">
        <f t="shared" si="45"/>
        <v>65610</v>
      </c>
      <c r="T88" s="394">
        <f t="shared" si="45"/>
        <v>123079</v>
      </c>
      <c r="U88" s="394">
        <f t="shared" si="45"/>
        <v>0</v>
      </c>
      <c r="V88" s="394">
        <f t="shared" si="45"/>
        <v>0</v>
      </c>
      <c r="W88" s="394">
        <f t="shared" si="45"/>
        <v>0</v>
      </c>
      <c r="X88" s="394">
        <f t="shared" si="45"/>
        <v>74910</v>
      </c>
      <c r="Y88" s="394">
        <f t="shared" si="45"/>
        <v>0</v>
      </c>
      <c r="Z88" s="394">
        <f t="shared" si="45"/>
        <v>0</v>
      </c>
      <c r="AA88" s="394">
        <f t="shared" si="45"/>
        <v>0</v>
      </c>
      <c r="AB88" s="394">
        <f t="shared" si="45"/>
        <v>52482</v>
      </c>
      <c r="AC88" s="394">
        <f t="shared" si="45"/>
        <v>0</v>
      </c>
      <c r="AD88" s="394">
        <f t="shared" si="45"/>
        <v>0</v>
      </c>
      <c r="AE88" s="394">
        <f t="shared" si="45"/>
        <v>2500</v>
      </c>
      <c r="AF88" s="394">
        <f t="shared" si="45"/>
        <v>0</v>
      </c>
      <c r="AG88" s="394">
        <f t="shared" si="45"/>
        <v>4313</v>
      </c>
      <c r="AH88" s="394">
        <f t="shared" ref="AH88:AK88" si="46">AH89+AH90+AH97+AH99+AH104</f>
        <v>48169</v>
      </c>
      <c r="AI88" s="394">
        <f t="shared" si="46"/>
        <v>0</v>
      </c>
      <c r="AJ88" s="394">
        <f t="shared" si="46"/>
        <v>0</v>
      </c>
      <c r="AK88" s="394">
        <f t="shared" si="46"/>
        <v>2500</v>
      </c>
      <c r="AL88" s="393"/>
      <c r="AM88" s="400">
        <f t="shared" si="4"/>
        <v>-4313</v>
      </c>
      <c r="AO88" s="397"/>
      <c r="AP88" s="397"/>
      <c r="AQ88" s="397"/>
      <c r="AR88" s="397"/>
      <c r="AS88" s="397"/>
      <c r="AT88" s="397"/>
      <c r="AU88" s="397"/>
      <c r="AV88" s="397"/>
      <c r="AW88" s="397"/>
    </row>
    <row r="89" spans="1:49" s="414" customFormat="1" ht="67.5" customHeight="1">
      <c r="A89" s="416" t="s">
        <v>120</v>
      </c>
      <c r="B89" s="417" t="s">
        <v>1195</v>
      </c>
      <c r="C89" s="412"/>
      <c r="D89" s="282"/>
      <c r="E89" s="282"/>
      <c r="F89" s="412" t="s">
        <v>975</v>
      </c>
      <c r="G89" s="282"/>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339">
        <f t="shared" si="41"/>
        <v>0</v>
      </c>
      <c r="AG89" s="339">
        <f t="shared" si="42"/>
        <v>0</v>
      </c>
      <c r="AH89" s="407"/>
      <c r="AI89" s="407"/>
      <c r="AJ89" s="407"/>
      <c r="AK89" s="407"/>
      <c r="AL89" s="412"/>
      <c r="AM89" s="400">
        <f t="shared" si="4"/>
        <v>0</v>
      </c>
      <c r="AO89" s="415"/>
      <c r="AP89" s="415"/>
      <c r="AQ89" s="415"/>
      <c r="AR89" s="415"/>
      <c r="AS89" s="415"/>
      <c r="AT89" s="415"/>
      <c r="AU89" s="415"/>
      <c r="AV89" s="415"/>
      <c r="AW89" s="415"/>
    </row>
    <row r="90" spans="1:49" s="414" customFormat="1" ht="49.5" customHeight="1">
      <c r="A90" s="404" t="s">
        <v>122</v>
      </c>
      <c r="B90" s="405" t="s">
        <v>1183</v>
      </c>
      <c r="C90" s="412"/>
      <c r="D90" s="282"/>
      <c r="E90" s="310"/>
      <c r="F90" s="412"/>
      <c r="G90" s="282"/>
      <c r="H90" s="407">
        <f t="shared" ref="H90:AG90" si="47">SUM(H91:H96)</f>
        <v>179400</v>
      </c>
      <c r="I90" s="407">
        <f t="shared" si="47"/>
        <v>112000</v>
      </c>
      <c r="J90" s="407">
        <f t="shared" si="47"/>
        <v>40000</v>
      </c>
      <c r="K90" s="407">
        <f t="shared" si="47"/>
        <v>40000</v>
      </c>
      <c r="L90" s="407">
        <f t="shared" si="47"/>
        <v>24442.125</v>
      </c>
      <c r="M90" s="407">
        <f t="shared" si="47"/>
        <v>24442.125</v>
      </c>
      <c r="N90" s="407">
        <f t="shared" si="47"/>
        <v>24468.996999999999</v>
      </c>
      <c r="O90" s="407">
        <f t="shared" si="47"/>
        <v>24468.996999999999</v>
      </c>
      <c r="P90" s="407">
        <f t="shared" si="47"/>
        <v>40000</v>
      </c>
      <c r="Q90" s="407">
        <f t="shared" si="47"/>
        <v>40000</v>
      </c>
      <c r="R90" s="407">
        <f t="shared" si="47"/>
        <v>125610</v>
      </c>
      <c r="S90" s="407">
        <f t="shared" si="47"/>
        <v>60610</v>
      </c>
      <c r="T90" s="407">
        <f t="shared" si="47"/>
        <v>105579</v>
      </c>
      <c r="U90" s="407">
        <f t="shared" si="47"/>
        <v>0</v>
      </c>
      <c r="V90" s="407">
        <f t="shared" si="47"/>
        <v>0</v>
      </c>
      <c r="W90" s="407">
        <f t="shared" si="47"/>
        <v>0</v>
      </c>
      <c r="X90" s="407">
        <f t="shared" si="47"/>
        <v>69910</v>
      </c>
      <c r="Y90" s="407">
        <f t="shared" si="47"/>
        <v>0</v>
      </c>
      <c r="Z90" s="407">
        <f t="shared" si="47"/>
        <v>0</v>
      </c>
      <c r="AA90" s="407">
        <f t="shared" si="47"/>
        <v>0</v>
      </c>
      <c r="AB90" s="407">
        <f t="shared" si="47"/>
        <v>39982</v>
      </c>
      <c r="AC90" s="407">
        <f t="shared" si="47"/>
        <v>0</v>
      </c>
      <c r="AD90" s="407">
        <f t="shared" si="47"/>
        <v>0</v>
      </c>
      <c r="AE90" s="407">
        <f t="shared" si="47"/>
        <v>0</v>
      </c>
      <c r="AF90" s="407">
        <f t="shared" si="47"/>
        <v>0</v>
      </c>
      <c r="AG90" s="407">
        <f t="shared" si="47"/>
        <v>4313</v>
      </c>
      <c r="AH90" s="407">
        <f t="shared" ref="AH90:AK90" si="48">SUM(AH91:AH96)</f>
        <v>35669</v>
      </c>
      <c r="AI90" s="407">
        <f t="shared" si="48"/>
        <v>0</v>
      </c>
      <c r="AJ90" s="407">
        <f t="shared" si="48"/>
        <v>0</v>
      </c>
      <c r="AK90" s="407">
        <f t="shared" si="48"/>
        <v>0</v>
      </c>
      <c r="AL90" s="412"/>
      <c r="AM90" s="400">
        <f t="shared" ref="AM90:AM147" si="49">T90-X90-AB90</f>
        <v>-4313</v>
      </c>
      <c r="AO90" s="415"/>
      <c r="AP90" s="415"/>
      <c r="AQ90" s="415"/>
      <c r="AR90" s="415"/>
      <c r="AS90" s="415"/>
      <c r="AT90" s="415"/>
      <c r="AU90" s="415"/>
      <c r="AV90" s="415"/>
      <c r="AW90" s="415"/>
    </row>
    <row r="91" spans="1:49" s="390" customFormat="1" ht="79.5" customHeight="1">
      <c r="A91" s="398">
        <v>1</v>
      </c>
      <c r="B91" s="399" t="s">
        <v>450</v>
      </c>
      <c r="C91" s="388" t="s">
        <v>39</v>
      </c>
      <c r="D91" s="294" t="s">
        <v>628</v>
      </c>
      <c r="E91" s="294" t="s">
        <v>680</v>
      </c>
      <c r="F91" s="388" t="s">
        <v>1165</v>
      </c>
      <c r="G91" s="260" t="s">
        <v>681</v>
      </c>
      <c r="H91" s="186">
        <v>38000</v>
      </c>
      <c r="I91" s="186">
        <v>38000</v>
      </c>
      <c r="J91" s="186">
        <v>10000</v>
      </c>
      <c r="K91" s="186">
        <v>10000</v>
      </c>
      <c r="L91" s="403">
        <v>9860.2350000000006</v>
      </c>
      <c r="M91" s="403">
        <v>9860.2350000000006</v>
      </c>
      <c r="N91" s="403">
        <v>9887.107</v>
      </c>
      <c r="O91" s="403">
        <v>9887.107</v>
      </c>
      <c r="P91" s="186">
        <v>10000</v>
      </c>
      <c r="Q91" s="186">
        <v>10000</v>
      </c>
      <c r="R91" s="339">
        <v>13200</v>
      </c>
      <c r="S91" s="339">
        <v>13200</v>
      </c>
      <c r="T91" s="339">
        <v>37800</v>
      </c>
      <c r="U91" s="339"/>
      <c r="V91" s="339"/>
      <c r="W91" s="339"/>
      <c r="X91" s="339">
        <v>16500</v>
      </c>
      <c r="Y91" s="339"/>
      <c r="Z91" s="339"/>
      <c r="AA91" s="339"/>
      <c r="AB91" s="339">
        <v>21300</v>
      </c>
      <c r="AC91" s="339"/>
      <c r="AD91" s="339"/>
      <c r="AE91" s="339"/>
      <c r="AF91" s="339">
        <f t="shared" si="41"/>
        <v>0</v>
      </c>
      <c r="AG91" s="339">
        <f t="shared" si="42"/>
        <v>0</v>
      </c>
      <c r="AH91" s="339">
        <v>21300</v>
      </c>
      <c r="AI91" s="339"/>
      <c r="AJ91" s="339"/>
      <c r="AK91" s="339"/>
      <c r="AL91" s="388"/>
      <c r="AM91" s="400">
        <f t="shared" si="49"/>
        <v>0</v>
      </c>
      <c r="AO91" s="391"/>
      <c r="AP91" s="391"/>
      <c r="AQ91" s="391">
        <v>1</v>
      </c>
      <c r="AR91" s="391"/>
      <c r="AS91" s="391"/>
      <c r="AT91" s="391"/>
      <c r="AU91" s="391"/>
      <c r="AV91" s="391">
        <v>1</v>
      </c>
      <c r="AW91" s="391" t="s">
        <v>1208</v>
      </c>
    </row>
    <row r="92" spans="1:49" s="390" customFormat="1" ht="66" customHeight="1">
      <c r="A92" s="398">
        <v>2</v>
      </c>
      <c r="B92" s="399" t="s">
        <v>456</v>
      </c>
      <c r="C92" s="388" t="s">
        <v>39</v>
      </c>
      <c r="D92" s="260" t="s">
        <v>629</v>
      </c>
      <c r="E92" s="294" t="s">
        <v>691</v>
      </c>
      <c r="F92" s="388" t="s">
        <v>1165</v>
      </c>
      <c r="G92" s="260" t="s">
        <v>692</v>
      </c>
      <c r="H92" s="403">
        <v>14500</v>
      </c>
      <c r="I92" s="403">
        <v>14500</v>
      </c>
      <c r="J92" s="403">
        <v>5000</v>
      </c>
      <c r="K92" s="403">
        <v>5000</v>
      </c>
      <c r="L92" s="403">
        <v>4200</v>
      </c>
      <c r="M92" s="403">
        <v>4200</v>
      </c>
      <c r="N92" s="403">
        <v>4200</v>
      </c>
      <c r="O92" s="403">
        <v>4200</v>
      </c>
      <c r="P92" s="403">
        <v>5000</v>
      </c>
      <c r="Q92" s="403">
        <v>5000</v>
      </c>
      <c r="R92" s="339">
        <v>11510</v>
      </c>
      <c r="S92" s="339">
        <v>11510</v>
      </c>
      <c r="T92" s="339">
        <v>14119</v>
      </c>
      <c r="U92" s="339"/>
      <c r="V92" s="339"/>
      <c r="W92" s="339"/>
      <c r="X92" s="339">
        <v>11510</v>
      </c>
      <c r="Y92" s="339"/>
      <c r="Z92" s="339"/>
      <c r="AA92" s="339"/>
      <c r="AB92" s="339">
        <v>2990</v>
      </c>
      <c r="AC92" s="339"/>
      <c r="AD92" s="339"/>
      <c r="AE92" s="339"/>
      <c r="AF92" s="339">
        <f t="shared" si="41"/>
        <v>0</v>
      </c>
      <c r="AG92" s="339">
        <f t="shared" si="42"/>
        <v>381</v>
      </c>
      <c r="AH92" s="339">
        <v>2609</v>
      </c>
      <c r="AI92" s="339"/>
      <c r="AJ92" s="339"/>
      <c r="AK92" s="339"/>
      <c r="AL92" s="388" t="s">
        <v>1099</v>
      </c>
      <c r="AM92" s="400">
        <f t="shared" si="49"/>
        <v>-381</v>
      </c>
      <c r="AO92" s="391"/>
      <c r="AP92" s="391"/>
      <c r="AQ92" s="391">
        <v>1</v>
      </c>
      <c r="AR92" s="391"/>
      <c r="AS92" s="391"/>
      <c r="AT92" s="391"/>
      <c r="AU92" s="391"/>
      <c r="AV92" s="391">
        <v>1</v>
      </c>
      <c r="AW92" s="391" t="s">
        <v>1208</v>
      </c>
    </row>
    <row r="93" spans="1:49" s="390" customFormat="1" ht="79.5" customHeight="1">
      <c r="A93" s="398">
        <v>3</v>
      </c>
      <c r="B93" s="399" t="s">
        <v>457</v>
      </c>
      <c r="C93" s="388" t="s">
        <v>39</v>
      </c>
      <c r="D93" s="260" t="s">
        <v>625</v>
      </c>
      <c r="E93" s="260" t="s">
        <v>693</v>
      </c>
      <c r="F93" s="388" t="s">
        <v>1209</v>
      </c>
      <c r="G93" s="260" t="s">
        <v>694</v>
      </c>
      <c r="H93" s="403">
        <v>20000</v>
      </c>
      <c r="I93" s="403">
        <v>20000</v>
      </c>
      <c r="J93" s="403">
        <v>12000</v>
      </c>
      <c r="K93" s="403">
        <v>12000</v>
      </c>
      <c r="L93" s="403">
        <v>3050</v>
      </c>
      <c r="M93" s="339">
        <v>3050</v>
      </c>
      <c r="N93" s="339">
        <v>3050</v>
      </c>
      <c r="O93" s="339">
        <v>3050</v>
      </c>
      <c r="P93" s="403">
        <v>12000</v>
      </c>
      <c r="Q93" s="403">
        <v>12000</v>
      </c>
      <c r="R93" s="339">
        <v>12200</v>
      </c>
      <c r="S93" s="339">
        <v>12200</v>
      </c>
      <c r="T93" s="339">
        <v>20000</v>
      </c>
      <c r="U93" s="339"/>
      <c r="V93" s="339"/>
      <c r="W93" s="339"/>
      <c r="X93" s="339">
        <v>18200</v>
      </c>
      <c r="Y93" s="339"/>
      <c r="Z93" s="339"/>
      <c r="AA93" s="339"/>
      <c r="AB93" s="339">
        <v>1800</v>
      </c>
      <c r="AC93" s="339"/>
      <c r="AD93" s="339"/>
      <c r="AE93" s="339"/>
      <c r="AF93" s="339">
        <f t="shared" si="41"/>
        <v>0</v>
      </c>
      <c r="AG93" s="339">
        <f t="shared" si="42"/>
        <v>0</v>
      </c>
      <c r="AH93" s="339">
        <v>1800</v>
      </c>
      <c r="AI93" s="339"/>
      <c r="AJ93" s="339"/>
      <c r="AK93" s="339"/>
      <c r="AL93" s="388"/>
      <c r="AM93" s="400">
        <f t="shared" si="49"/>
        <v>0</v>
      </c>
      <c r="AO93" s="391"/>
      <c r="AP93" s="391"/>
      <c r="AQ93" s="391">
        <v>1</v>
      </c>
      <c r="AR93" s="391"/>
      <c r="AS93" s="391"/>
      <c r="AT93" s="391"/>
      <c r="AU93" s="391"/>
      <c r="AV93" s="391">
        <v>1</v>
      </c>
      <c r="AW93" s="391" t="s">
        <v>1208</v>
      </c>
    </row>
    <row r="94" spans="1:49" s="390" customFormat="1" ht="79.5" customHeight="1">
      <c r="A94" s="398">
        <v>4</v>
      </c>
      <c r="B94" s="399" t="s">
        <v>458</v>
      </c>
      <c r="C94" s="388" t="s">
        <v>39</v>
      </c>
      <c r="D94" s="260" t="s">
        <v>628</v>
      </c>
      <c r="E94" s="294" t="s">
        <v>695</v>
      </c>
      <c r="F94" s="388" t="s">
        <v>1165</v>
      </c>
      <c r="G94" s="260" t="s">
        <v>696</v>
      </c>
      <c r="H94" s="403">
        <v>14500</v>
      </c>
      <c r="I94" s="403">
        <v>14500</v>
      </c>
      <c r="J94" s="403">
        <v>5000</v>
      </c>
      <c r="K94" s="403">
        <v>5000</v>
      </c>
      <c r="L94" s="403">
        <v>2331.89</v>
      </c>
      <c r="M94" s="403">
        <v>2331.89</v>
      </c>
      <c r="N94" s="403">
        <v>2331.89</v>
      </c>
      <c r="O94" s="403">
        <v>2331.89</v>
      </c>
      <c r="P94" s="403">
        <v>5000</v>
      </c>
      <c r="Q94" s="403">
        <v>5000</v>
      </c>
      <c r="R94" s="339">
        <v>10700</v>
      </c>
      <c r="S94" s="339">
        <v>10700</v>
      </c>
      <c r="T94" s="339">
        <v>14090</v>
      </c>
      <c r="U94" s="339"/>
      <c r="V94" s="339"/>
      <c r="W94" s="339"/>
      <c r="X94" s="339">
        <v>10700</v>
      </c>
      <c r="Y94" s="339"/>
      <c r="Z94" s="339"/>
      <c r="AA94" s="339"/>
      <c r="AB94" s="339">
        <v>3800</v>
      </c>
      <c r="AC94" s="339"/>
      <c r="AD94" s="339"/>
      <c r="AE94" s="339"/>
      <c r="AF94" s="339">
        <f t="shared" si="41"/>
        <v>0</v>
      </c>
      <c r="AG94" s="339">
        <f t="shared" si="42"/>
        <v>410</v>
      </c>
      <c r="AH94" s="339">
        <v>3390</v>
      </c>
      <c r="AI94" s="339"/>
      <c r="AJ94" s="339"/>
      <c r="AK94" s="339"/>
      <c r="AL94" s="388" t="s">
        <v>1099</v>
      </c>
      <c r="AM94" s="400">
        <f t="shared" si="49"/>
        <v>-410</v>
      </c>
      <c r="AO94" s="391"/>
      <c r="AP94" s="391"/>
      <c r="AQ94" s="391">
        <v>1</v>
      </c>
      <c r="AR94" s="391"/>
      <c r="AS94" s="391"/>
      <c r="AT94" s="391"/>
      <c r="AU94" s="391"/>
      <c r="AV94" s="391">
        <v>1</v>
      </c>
      <c r="AW94" s="391" t="s">
        <v>1208</v>
      </c>
    </row>
    <row r="95" spans="1:49" s="390" customFormat="1" ht="66" customHeight="1">
      <c r="A95" s="398">
        <v>5</v>
      </c>
      <c r="B95" s="399" t="s">
        <v>464</v>
      </c>
      <c r="C95" s="388" t="s">
        <v>38</v>
      </c>
      <c r="D95" s="294" t="s">
        <v>229</v>
      </c>
      <c r="E95" s="294"/>
      <c r="F95" s="388" t="s">
        <v>1165</v>
      </c>
      <c r="G95" s="260" t="s">
        <v>1210</v>
      </c>
      <c r="H95" s="403">
        <v>70000</v>
      </c>
      <c r="I95" s="403">
        <v>5000</v>
      </c>
      <c r="J95" s="403"/>
      <c r="K95" s="403"/>
      <c r="L95" s="403"/>
      <c r="M95" s="339"/>
      <c r="N95" s="339"/>
      <c r="O95" s="339"/>
      <c r="P95" s="403"/>
      <c r="Q95" s="403"/>
      <c r="R95" s="339">
        <v>65000</v>
      </c>
      <c r="S95" s="339">
        <v>0</v>
      </c>
      <c r="T95" s="339">
        <v>1478</v>
      </c>
      <c r="U95" s="339"/>
      <c r="V95" s="339"/>
      <c r="W95" s="339"/>
      <c r="X95" s="339">
        <v>0</v>
      </c>
      <c r="Y95" s="339"/>
      <c r="Z95" s="339"/>
      <c r="AA95" s="339"/>
      <c r="AB95" s="339">
        <v>5000</v>
      </c>
      <c r="AC95" s="339"/>
      <c r="AD95" s="339"/>
      <c r="AE95" s="339"/>
      <c r="AF95" s="339">
        <f t="shared" si="41"/>
        <v>0</v>
      </c>
      <c r="AG95" s="339">
        <f t="shared" si="42"/>
        <v>3522</v>
      </c>
      <c r="AH95" s="339">
        <v>1478</v>
      </c>
      <c r="AI95" s="339"/>
      <c r="AJ95" s="339"/>
      <c r="AK95" s="339"/>
      <c r="AL95" s="388" t="s">
        <v>1099</v>
      </c>
      <c r="AM95" s="400">
        <f t="shared" si="49"/>
        <v>-3522</v>
      </c>
      <c r="AO95" s="391"/>
      <c r="AP95" s="391"/>
      <c r="AQ95" s="391">
        <v>1</v>
      </c>
      <c r="AR95" s="391"/>
      <c r="AS95" s="391"/>
      <c r="AT95" s="391"/>
      <c r="AU95" s="391"/>
      <c r="AV95" s="391">
        <v>1</v>
      </c>
      <c r="AW95" s="391" t="s">
        <v>1208</v>
      </c>
    </row>
    <row r="96" spans="1:49" s="390" customFormat="1" ht="61.5">
      <c r="A96" s="398">
        <v>6</v>
      </c>
      <c r="B96" s="399" t="s">
        <v>465</v>
      </c>
      <c r="C96" s="388" t="s">
        <v>39</v>
      </c>
      <c r="D96" s="260" t="s">
        <v>629</v>
      </c>
      <c r="E96" s="294" t="s">
        <v>704</v>
      </c>
      <c r="F96" s="388" t="s">
        <v>1165</v>
      </c>
      <c r="G96" s="260" t="s">
        <v>705</v>
      </c>
      <c r="H96" s="339">
        <v>22400</v>
      </c>
      <c r="I96" s="339">
        <v>20000</v>
      </c>
      <c r="J96" s="339">
        <f>5000+3000</f>
        <v>8000</v>
      </c>
      <c r="K96" s="339">
        <f>5000+3000</f>
        <v>8000</v>
      </c>
      <c r="L96" s="339">
        <v>5000</v>
      </c>
      <c r="M96" s="339">
        <v>5000</v>
      </c>
      <c r="N96" s="339">
        <v>5000</v>
      </c>
      <c r="O96" s="339">
        <v>5000</v>
      </c>
      <c r="P96" s="339">
        <f>5000+3000</f>
        <v>8000</v>
      </c>
      <c r="Q96" s="339">
        <f>5000+3000</f>
        <v>8000</v>
      </c>
      <c r="R96" s="339">
        <f>10000+3000</f>
        <v>13000</v>
      </c>
      <c r="S96" s="339">
        <f>10000+3000</f>
        <v>13000</v>
      </c>
      <c r="T96" s="339">
        <v>18092</v>
      </c>
      <c r="U96" s="339"/>
      <c r="V96" s="339"/>
      <c r="W96" s="339"/>
      <c r="X96" s="339">
        <f>10000+3000</f>
        <v>13000</v>
      </c>
      <c r="Y96" s="339"/>
      <c r="Z96" s="339"/>
      <c r="AA96" s="339"/>
      <c r="AB96" s="339">
        <v>5092</v>
      </c>
      <c r="AC96" s="339"/>
      <c r="AD96" s="339"/>
      <c r="AE96" s="339"/>
      <c r="AF96" s="339">
        <f t="shared" si="41"/>
        <v>0</v>
      </c>
      <c r="AG96" s="339">
        <f t="shared" si="42"/>
        <v>0</v>
      </c>
      <c r="AH96" s="339">
        <v>5092</v>
      </c>
      <c r="AI96" s="339"/>
      <c r="AJ96" s="339"/>
      <c r="AK96" s="339"/>
      <c r="AL96" s="391" t="s">
        <v>1055</v>
      </c>
      <c r="AM96" s="400">
        <f t="shared" si="49"/>
        <v>0</v>
      </c>
      <c r="AO96" s="391"/>
      <c r="AP96" s="391"/>
      <c r="AQ96" s="391">
        <v>1</v>
      </c>
      <c r="AR96" s="391"/>
      <c r="AS96" s="391"/>
      <c r="AT96" s="391"/>
      <c r="AU96" s="391"/>
      <c r="AV96" s="391">
        <v>1</v>
      </c>
      <c r="AW96" s="391" t="s">
        <v>1208</v>
      </c>
    </row>
    <row r="97" spans="1:49" s="414" customFormat="1" ht="34.5">
      <c r="A97" s="404" t="s">
        <v>350</v>
      </c>
      <c r="B97" s="405" t="s">
        <v>1211</v>
      </c>
      <c r="C97" s="412"/>
      <c r="D97" s="282"/>
      <c r="E97" s="310"/>
      <c r="F97" s="412"/>
      <c r="G97" s="282"/>
      <c r="H97" s="407">
        <f>H98</f>
        <v>50000</v>
      </c>
      <c r="I97" s="407">
        <f t="shared" ref="I97:AG97" si="50">I98</f>
        <v>15000</v>
      </c>
      <c r="J97" s="407">
        <f t="shared" si="50"/>
        <v>5000</v>
      </c>
      <c r="K97" s="407">
        <f t="shared" si="50"/>
        <v>5000</v>
      </c>
      <c r="L97" s="407">
        <f t="shared" si="50"/>
        <v>0</v>
      </c>
      <c r="M97" s="407">
        <f t="shared" si="50"/>
        <v>0</v>
      </c>
      <c r="N97" s="407">
        <f t="shared" si="50"/>
        <v>0</v>
      </c>
      <c r="O97" s="407">
        <f t="shared" si="50"/>
        <v>0</v>
      </c>
      <c r="P97" s="407">
        <f t="shared" si="50"/>
        <v>5000</v>
      </c>
      <c r="Q97" s="407">
        <f t="shared" si="50"/>
        <v>5000</v>
      </c>
      <c r="R97" s="407">
        <f t="shared" si="50"/>
        <v>5000</v>
      </c>
      <c r="S97" s="407">
        <f t="shared" si="50"/>
        <v>5000</v>
      </c>
      <c r="T97" s="407">
        <f t="shared" si="50"/>
        <v>15000</v>
      </c>
      <c r="U97" s="407">
        <f t="shared" si="50"/>
        <v>0</v>
      </c>
      <c r="V97" s="407">
        <f t="shared" si="50"/>
        <v>0</v>
      </c>
      <c r="W97" s="407">
        <f t="shared" si="50"/>
        <v>0</v>
      </c>
      <c r="X97" s="407">
        <f t="shared" si="50"/>
        <v>5000</v>
      </c>
      <c r="Y97" s="407">
        <f t="shared" si="50"/>
        <v>0</v>
      </c>
      <c r="Z97" s="407">
        <f t="shared" si="50"/>
        <v>0</v>
      </c>
      <c r="AA97" s="407">
        <f t="shared" si="50"/>
        <v>0</v>
      </c>
      <c r="AB97" s="407">
        <f t="shared" si="50"/>
        <v>10000</v>
      </c>
      <c r="AC97" s="407">
        <f t="shared" si="50"/>
        <v>0</v>
      </c>
      <c r="AD97" s="407">
        <f t="shared" si="50"/>
        <v>0</v>
      </c>
      <c r="AE97" s="407">
        <f t="shared" si="50"/>
        <v>0</v>
      </c>
      <c r="AF97" s="407">
        <f t="shared" si="50"/>
        <v>0</v>
      </c>
      <c r="AG97" s="407">
        <f t="shared" si="50"/>
        <v>0</v>
      </c>
      <c r="AH97" s="407">
        <f t="shared" ref="AH97:AK97" si="51">AH98</f>
        <v>10000</v>
      </c>
      <c r="AI97" s="407">
        <f t="shared" si="51"/>
        <v>0</v>
      </c>
      <c r="AJ97" s="407">
        <f t="shared" si="51"/>
        <v>0</v>
      </c>
      <c r="AK97" s="407">
        <f t="shared" si="51"/>
        <v>0</v>
      </c>
      <c r="AL97" s="412"/>
      <c r="AM97" s="400">
        <f t="shared" si="49"/>
        <v>0</v>
      </c>
      <c r="AO97" s="415"/>
      <c r="AP97" s="415"/>
      <c r="AQ97" s="415"/>
      <c r="AR97" s="415"/>
      <c r="AS97" s="415"/>
      <c r="AT97" s="415"/>
      <c r="AU97" s="415"/>
      <c r="AV97" s="415"/>
      <c r="AW97" s="415"/>
    </row>
    <row r="98" spans="1:49" s="390" customFormat="1" ht="72" customHeight="1">
      <c r="A98" s="398">
        <v>1</v>
      </c>
      <c r="B98" s="399" t="s">
        <v>469</v>
      </c>
      <c r="C98" s="388" t="s">
        <v>38</v>
      </c>
      <c r="D98" s="260"/>
      <c r="E98" s="294"/>
      <c r="F98" s="388" t="s">
        <v>1176</v>
      </c>
      <c r="G98" s="260" t="s">
        <v>1212</v>
      </c>
      <c r="H98" s="339">
        <v>50000</v>
      </c>
      <c r="I98" s="339">
        <v>15000</v>
      </c>
      <c r="J98" s="339">
        <v>5000</v>
      </c>
      <c r="K98" s="339">
        <v>5000</v>
      </c>
      <c r="L98" s="339"/>
      <c r="M98" s="339"/>
      <c r="N98" s="339"/>
      <c r="O98" s="339"/>
      <c r="P98" s="339">
        <v>5000</v>
      </c>
      <c r="Q98" s="339">
        <v>5000</v>
      </c>
      <c r="R98" s="339">
        <v>5000</v>
      </c>
      <c r="S98" s="339">
        <v>5000</v>
      </c>
      <c r="T98" s="339">
        <v>15000</v>
      </c>
      <c r="U98" s="339"/>
      <c r="V98" s="339"/>
      <c r="W98" s="339"/>
      <c r="X98" s="339">
        <v>5000</v>
      </c>
      <c r="Y98" s="339"/>
      <c r="Z98" s="339"/>
      <c r="AA98" s="339"/>
      <c r="AB98" s="339">
        <v>10000</v>
      </c>
      <c r="AC98" s="339"/>
      <c r="AD98" s="339"/>
      <c r="AE98" s="339"/>
      <c r="AF98" s="339">
        <f t="shared" si="41"/>
        <v>0</v>
      </c>
      <c r="AG98" s="339">
        <f t="shared" si="42"/>
        <v>0</v>
      </c>
      <c r="AH98" s="339">
        <v>10000</v>
      </c>
      <c r="AI98" s="339"/>
      <c r="AJ98" s="339"/>
      <c r="AK98" s="339"/>
      <c r="AL98" s="388"/>
      <c r="AM98" s="400">
        <f t="shared" si="49"/>
        <v>0</v>
      </c>
      <c r="AO98" s="391">
        <v>1</v>
      </c>
      <c r="AP98" s="391"/>
      <c r="AQ98" s="391"/>
      <c r="AR98" s="391"/>
      <c r="AS98" s="391"/>
      <c r="AT98" s="391"/>
      <c r="AU98" s="391"/>
      <c r="AV98" s="391"/>
      <c r="AW98" s="391"/>
    </row>
    <row r="99" spans="1:49" s="414" customFormat="1">
      <c r="A99" s="404" t="s">
        <v>471</v>
      </c>
      <c r="B99" s="405" t="s">
        <v>1192</v>
      </c>
      <c r="C99" s="412"/>
      <c r="D99" s="282"/>
      <c r="E99" s="310"/>
      <c r="F99" s="412" t="s">
        <v>975</v>
      </c>
      <c r="G99" s="282"/>
      <c r="H99" s="407">
        <f t="shared" ref="H99:AG99" si="52">SUM(H100:H103)</f>
        <v>50000</v>
      </c>
      <c r="I99" s="407">
        <f t="shared" si="52"/>
        <v>40000</v>
      </c>
      <c r="J99" s="407">
        <f t="shared" si="52"/>
        <v>0</v>
      </c>
      <c r="K99" s="407">
        <f t="shared" si="52"/>
        <v>0</v>
      </c>
      <c r="L99" s="407">
        <f t="shared" si="52"/>
        <v>0</v>
      </c>
      <c r="M99" s="407">
        <f t="shared" si="52"/>
        <v>0</v>
      </c>
      <c r="N99" s="407">
        <f t="shared" si="52"/>
        <v>0</v>
      </c>
      <c r="O99" s="407">
        <f t="shared" si="52"/>
        <v>0</v>
      </c>
      <c r="P99" s="407">
        <f t="shared" si="52"/>
        <v>0</v>
      </c>
      <c r="Q99" s="407">
        <f t="shared" si="52"/>
        <v>0</v>
      </c>
      <c r="R99" s="407">
        <f t="shared" si="52"/>
        <v>0</v>
      </c>
      <c r="S99" s="407">
        <f t="shared" si="52"/>
        <v>0</v>
      </c>
      <c r="T99" s="407">
        <f t="shared" si="52"/>
        <v>0</v>
      </c>
      <c r="U99" s="407">
        <f t="shared" si="52"/>
        <v>0</v>
      </c>
      <c r="V99" s="407">
        <f t="shared" si="52"/>
        <v>0</v>
      </c>
      <c r="W99" s="407">
        <f t="shared" si="52"/>
        <v>0</v>
      </c>
      <c r="X99" s="407">
        <f t="shared" si="52"/>
        <v>0</v>
      </c>
      <c r="Y99" s="407">
        <f t="shared" si="52"/>
        <v>0</v>
      </c>
      <c r="Z99" s="407">
        <f t="shared" si="52"/>
        <v>0</v>
      </c>
      <c r="AA99" s="407">
        <f t="shared" si="52"/>
        <v>0</v>
      </c>
      <c r="AB99" s="407">
        <f t="shared" si="52"/>
        <v>0</v>
      </c>
      <c r="AC99" s="407">
        <f t="shared" si="52"/>
        <v>0</v>
      </c>
      <c r="AD99" s="407">
        <f t="shared" si="52"/>
        <v>0</v>
      </c>
      <c r="AE99" s="407">
        <f t="shared" si="52"/>
        <v>0</v>
      </c>
      <c r="AF99" s="407">
        <f t="shared" si="52"/>
        <v>0</v>
      </c>
      <c r="AG99" s="407">
        <f t="shared" si="52"/>
        <v>0</v>
      </c>
      <c r="AH99" s="407">
        <f t="shared" ref="AH99:AK99" si="53">SUM(AH100:AH103)</f>
        <v>0</v>
      </c>
      <c r="AI99" s="407">
        <f t="shared" si="53"/>
        <v>0</v>
      </c>
      <c r="AJ99" s="407">
        <f t="shared" si="53"/>
        <v>0</v>
      </c>
      <c r="AK99" s="407">
        <f t="shared" si="53"/>
        <v>0</v>
      </c>
      <c r="AL99" s="412"/>
      <c r="AM99" s="400">
        <f t="shared" si="49"/>
        <v>0</v>
      </c>
      <c r="AO99" s="415"/>
      <c r="AP99" s="415"/>
      <c r="AQ99" s="415"/>
      <c r="AR99" s="415"/>
      <c r="AS99" s="415"/>
      <c r="AT99" s="415"/>
      <c r="AU99" s="415"/>
      <c r="AV99" s="415"/>
      <c r="AW99" s="415"/>
    </row>
    <row r="100" spans="1:49" s="390" customFormat="1" ht="52.9" hidden="1">
      <c r="A100" s="398">
        <v>1</v>
      </c>
      <c r="B100" s="399" t="s">
        <v>466</v>
      </c>
      <c r="C100" s="388" t="s">
        <v>39</v>
      </c>
      <c r="D100" s="260"/>
      <c r="E100" s="294"/>
      <c r="F100" s="388" t="s">
        <v>1176</v>
      </c>
      <c r="G100" s="260" t="s">
        <v>1077</v>
      </c>
      <c r="H100" s="339">
        <v>14950</v>
      </c>
      <c r="I100" s="339">
        <v>12450</v>
      </c>
      <c r="J100" s="339"/>
      <c r="K100" s="339"/>
      <c r="L100" s="339"/>
      <c r="M100" s="339"/>
      <c r="N100" s="339"/>
      <c r="O100" s="339"/>
      <c r="P100" s="339"/>
      <c r="Q100" s="339"/>
      <c r="R100" s="339">
        <v>0</v>
      </c>
      <c r="S100" s="339">
        <v>0</v>
      </c>
      <c r="T100" s="339"/>
      <c r="U100" s="339"/>
      <c r="V100" s="339"/>
      <c r="W100" s="339"/>
      <c r="X100" s="339">
        <v>0</v>
      </c>
      <c r="Y100" s="339"/>
      <c r="Z100" s="339"/>
      <c r="AA100" s="339"/>
      <c r="AB100" s="339">
        <v>0</v>
      </c>
      <c r="AC100" s="339"/>
      <c r="AD100" s="339"/>
      <c r="AE100" s="339"/>
      <c r="AF100" s="339">
        <f t="shared" si="41"/>
        <v>0</v>
      </c>
      <c r="AG100" s="339">
        <f t="shared" si="42"/>
        <v>0</v>
      </c>
      <c r="AH100" s="339">
        <v>0</v>
      </c>
      <c r="AI100" s="339"/>
      <c r="AJ100" s="339"/>
      <c r="AK100" s="339"/>
      <c r="AL100" s="388" t="s">
        <v>1177</v>
      </c>
      <c r="AM100" s="400">
        <f t="shared" si="49"/>
        <v>0</v>
      </c>
      <c r="AO100" s="391"/>
      <c r="AP100" s="391"/>
      <c r="AQ100" s="391"/>
      <c r="AR100" s="391"/>
      <c r="AS100" s="391">
        <v>1</v>
      </c>
      <c r="AT100" s="391"/>
      <c r="AU100" s="391"/>
      <c r="AV100" s="391"/>
      <c r="AW100" s="391"/>
    </row>
    <row r="101" spans="1:49" s="390" customFormat="1" ht="35.25" hidden="1">
      <c r="A101" s="398">
        <v>2</v>
      </c>
      <c r="B101" s="399" t="s">
        <v>467</v>
      </c>
      <c r="C101" s="388" t="s">
        <v>39</v>
      </c>
      <c r="D101" s="260"/>
      <c r="E101" s="294"/>
      <c r="F101" s="388" t="s">
        <v>1176</v>
      </c>
      <c r="G101" s="260" t="s">
        <v>1078</v>
      </c>
      <c r="H101" s="339">
        <v>14900</v>
      </c>
      <c r="I101" s="339">
        <v>12400</v>
      </c>
      <c r="J101" s="339"/>
      <c r="K101" s="339"/>
      <c r="L101" s="339"/>
      <c r="M101" s="339"/>
      <c r="N101" s="339"/>
      <c r="O101" s="339"/>
      <c r="P101" s="339"/>
      <c r="Q101" s="339"/>
      <c r="R101" s="339">
        <v>0</v>
      </c>
      <c r="S101" s="339">
        <v>0</v>
      </c>
      <c r="T101" s="339"/>
      <c r="U101" s="339"/>
      <c r="V101" s="339"/>
      <c r="W101" s="339"/>
      <c r="X101" s="339">
        <v>0</v>
      </c>
      <c r="Y101" s="339"/>
      <c r="Z101" s="339"/>
      <c r="AA101" s="339"/>
      <c r="AB101" s="339">
        <v>0</v>
      </c>
      <c r="AC101" s="339"/>
      <c r="AD101" s="339"/>
      <c r="AE101" s="339"/>
      <c r="AF101" s="339">
        <f t="shared" si="41"/>
        <v>0</v>
      </c>
      <c r="AG101" s="339">
        <f t="shared" si="42"/>
        <v>0</v>
      </c>
      <c r="AH101" s="339">
        <v>0</v>
      </c>
      <c r="AI101" s="339"/>
      <c r="AJ101" s="339"/>
      <c r="AK101" s="339"/>
      <c r="AL101" s="388" t="s">
        <v>1177</v>
      </c>
      <c r="AM101" s="400">
        <f t="shared" si="49"/>
        <v>0</v>
      </c>
      <c r="AO101" s="391"/>
      <c r="AP101" s="391"/>
      <c r="AQ101" s="391"/>
      <c r="AR101" s="391"/>
      <c r="AS101" s="391">
        <v>1</v>
      </c>
      <c r="AT101" s="391"/>
      <c r="AU101" s="391"/>
      <c r="AV101" s="391"/>
      <c r="AW101" s="391"/>
    </row>
    <row r="102" spans="1:49" s="390" customFormat="1" ht="56.25" hidden="1" customHeight="1">
      <c r="A102" s="398">
        <v>3</v>
      </c>
      <c r="B102" s="399" t="s">
        <v>468</v>
      </c>
      <c r="C102" s="388" t="s">
        <v>39</v>
      </c>
      <c r="D102" s="260"/>
      <c r="E102" s="294"/>
      <c r="F102" s="388" t="s">
        <v>1176</v>
      </c>
      <c r="G102" s="260" t="s">
        <v>1079</v>
      </c>
      <c r="H102" s="339">
        <v>9000</v>
      </c>
      <c r="I102" s="339">
        <v>6500</v>
      </c>
      <c r="J102" s="339"/>
      <c r="K102" s="339"/>
      <c r="L102" s="339"/>
      <c r="M102" s="339"/>
      <c r="N102" s="339"/>
      <c r="O102" s="339"/>
      <c r="P102" s="339"/>
      <c r="Q102" s="339"/>
      <c r="R102" s="339">
        <v>0</v>
      </c>
      <c r="S102" s="339">
        <v>0</v>
      </c>
      <c r="T102" s="339"/>
      <c r="U102" s="339"/>
      <c r="V102" s="339"/>
      <c r="W102" s="339"/>
      <c r="X102" s="339">
        <v>0</v>
      </c>
      <c r="Y102" s="339"/>
      <c r="Z102" s="339"/>
      <c r="AA102" s="339"/>
      <c r="AB102" s="339">
        <v>0</v>
      </c>
      <c r="AC102" s="339"/>
      <c r="AD102" s="339"/>
      <c r="AE102" s="339"/>
      <c r="AF102" s="339">
        <f t="shared" si="41"/>
        <v>0</v>
      </c>
      <c r="AG102" s="339">
        <f t="shared" si="42"/>
        <v>0</v>
      </c>
      <c r="AH102" s="339">
        <v>0</v>
      </c>
      <c r="AI102" s="339"/>
      <c r="AJ102" s="339"/>
      <c r="AK102" s="339"/>
      <c r="AL102" s="388" t="s">
        <v>1177</v>
      </c>
      <c r="AM102" s="400">
        <f t="shared" si="49"/>
        <v>0</v>
      </c>
      <c r="AO102" s="391"/>
      <c r="AP102" s="391"/>
      <c r="AQ102" s="391"/>
      <c r="AR102" s="391"/>
      <c r="AS102" s="391">
        <v>1</v>
      </c>
      <c r="AT102" s="391"/>
      <c r="AU102" s="391"/>
      <c r="AV102" s="391"/>
      <c r="AW102" s="391"/>
    </row>
    <row r="103" spans="1:49" s="390" customFormat="1" ht="35.25" hidden="1">
      <c r="A103" s="398">
        <v>4</v>
      </c>
      <c r="B103" s="399" t="s">
        <v>470</v>
      </c>
      <c r="C103" s="388" t="s">
        <v>39</v>
      </c>
      <c r="D103" s="260"/>
      <c r="E103" s="294"/>
      <c r="F103" s="388" t="s">
        <v>1176</v>
      </c>
      <c r="G103" s="260" t="s">
        <v>1080</v>
      </c>
      <c r="H103" s="339">
        <v>11150</v>
      </c>
      <c r="I103" s="339">
        <v>8650</v>
      </c>
      <c r="J103" s="339"/>
      <c r="K103" s="339"/>
      <c r="L103" s="339"/>
      <c r="M103" s="339"/>
      <c r="N103" s="339"/>
      <c r="O103" s="339"/>
      <c r="P103" s="339"/>
      <c r="Q103" s="339"/>
      <c r="R103" s="339">
        <v>0</v>
      </c>
      <c r="S103" s="339">
        <v>0</v>
      </c>
      <c r="T103" s="339"/>
      <c r="U103" s="339"/>
      <c r="V103" s="339"/>
      <c r="W103" s="339"/>
      <c r="X103" s="339">
        <v>0</v>
      </c>
      <c r="Y103" s="339"/>
      <c r="Z103" s="339"/>
      <c r="AA103" s="339"/>
      <c r="AB103" s="339">
        <v>0</v>
      </c>
      <c r="AC103" s="339"/>
      <c r="AD103" s="339"/>
      <c r="AE103" s="339"/>
      <c r="AF103" s="339">
        <f t="shared" si="41"/>
        <v>0</v>
      </c>
      <c r="AG103" s="339">
        <f t="shared" si="42"/>
        <v>0</v>
      </c>
      <c r="AH103" s="339">
        <v>0</v>
      </c>
      <c r="AI103" s="339"/>
      <c r="AJ103" s="339"/>
      <c r="AK103" s="339"/>
      <c r="AL103" s="388" t="s">
        <v>1177</v>
      </c>
      <c r="AM103" s="400">
        <f t="shared" si="49"/>
        <v>0</v>
      </c>
      <c r="AO103" s="391"/>
      <c r="AP103" s="391"/>
      <c r="AQ103" s="391"/>
      <c r="AR103" s="391"/>
      <c r="AS103" s="391">
        <v>1</v>
      </c>
      <c r="AT103" s="391"/>
      <c r="AU103" s="391"/>
      <c r="AV103" s="391"/>
      <c r="AW103" s="391"/>
    </row>
    <row r="104" spans="1:49" s="414" customFormat="1" ht="34.5">
      <c r="A104" s="404" t="s">
        <v>476</v>
      </c>
      <c r="B104" s="405" t="s">
        <v>1188</v>
      </c>
      <c r="C104" s="412"/>
      <c r="D104" s="282"/>
      <c r="E104" s="310"/>
      <c r="F104" s="412"/>
      <c r="G104" s="282"/>
      <c r="H104" s="407">
        <f t="shared" ref="H104:AK104" si="54">SUM(H105:H109)</f>
        <v>74500</v>
      </c>
      <c r="I104" s="407">
        <f t="shared" si="54"/>
        <v>59500</v>
      </c>
      <c r="J104" s="407">
        <f t="shared" si="54"/>
        <v>0</v>
      </c>
      <c r="K104" s="407">
        <f t="shared" si="54"/>
        <v>0</v>
      </c>
      <c r="L104" s="407">
        <f t="shared" si="54"/>
        <v>0</v>
      </c>
      <c r="M104" s="407">
        <f t="shared" si="54"/>
        <v>0</v>
      </c>
      <c r="N104" s="407">
        <f t="shared" si="54"/>
        <v>0</v>
      </c>
      <c r="O104" s="407">
        <f t="shared" si="54"/>
        <v>0</v>
      </c>
      <c r="P104" s="407">
        <f t="shared" si="54"/>
        <v>0</v>
      </c>
      <c r="Q104" s="407">
        <f t="shared" si="54"/>
        <v>0</v>
      </c>
      <c r="R104" s="407">
        <f t="shared" si="54"/>
        <v>0</v>
      </c>
      <c r="S104" s="407">
        <f t="shared" si="54"/>
        <v>0</v>
      </c>
      <c r="T104" s="407">
        <f t="shared" si="54"/>
        <v>2500</v>
      </c>
      <c r="U104" s="407">
        <f t="shared" si="54"/>
        <v>0</v>
      </c>
      <c r="V104" s="407">
        <f t="shared" si="54"/>
        <v>0</v>
      </c>
      <c r="W104" s="407">
        <f t="shared" si="54"/>
        <v>0</v>
      </c>
      <c r="X104" s="407">
        <f t="shared" si="54"/>
        <v>0</v>
      </c>
      <c r="Y104" s="407">
        <f t="shared" si="54"/>
        <v>0</v>
      </c>
      <c r="Z104" s="407">
        <f t="shared" si="54"/>
        <v>0</v>
      </c>
      <c r="AA104" s="407">
        <f t="shared" si="54"/>
        <v>0</v>
      </c>
      <c r="AB104" s="407">
        <f t="shared" si="54"/>
        <v>2500</v>
      </c>
      <c r="AC104" s="407">
        <f t="shared" si="54"/>
        <v>0</v>
      </c>
      <c r="AD104" s="407">
        <f t="shared" si="54"/>
        <v>0</v>
      </c>
      <c r="AE104" s="407">
        <f t="shared" si="54"/>
        <v>2500</v>
      </c>
      <c r="AF104" s="407">
        <f t="shared" si="54"/>
        <v>0</v>
      </c>
      <c r="AG104" s="407">
        <f t="shared" si="54"/>
        <v>0</v>
      </c>
      <c r="AH104" s="407">
        <f t="shared" si="54"/>
        <v>2500</v>
      </c>
      <c r="AI104" s="407">
        <f t="shared" si="54"/>
        <v>0</v>
      </c>
      <c r="AJ104" s="407">
        <f t="shared" si="54"/>
        <v>0</v>
      </c>
      <c r="AK104" s="407">
        <f t="shared" si="54"/>
        <v>2500</v>
      </c>
      <c r="AL104" s="412"/>
      <c r="AM104" s="413"/>
      <c r="AO104" s="415"/>
      <c r="AP104" s="415"/>
      <c r="AQ104" s="415"/>
      <c r="AR104" s="415"/>
      <c r="AS104" s="415"/>
      <c r="AT104" s="415"/>
      <c r="AU104" s="415"/>
      <c r="AV104" s="415"/>
      <c r="AW104" s="415"/>
    </row>
    <row r="105" spans="1:49" s="390" customFormat="1" ht="56.25" customHeight="1">
      <c r="A105" s="398">
        <v>1</v>
      </c>
      <c r="B105" s="399" t="s">
        <v>1007</v>
      </c>
      <c r="C105" s="388" t="s">
        <v>39</v>
      </c>
      <c r="D105" s="260"/>
      <c r="E105" s="294"/>
      <c r="F105" s="388"/>
      <c r="G105" s="260"/>
      <c r="H105" s="339">
        <v>14900</v>
      </c>
      <c r="I105" s="339">
        <v>11900</v>
      </c>
      <c r="J105" s="339"/>
      <c r="K105" s="339"/>
      <c r="L105" s="339"/>
      <c r="M105" s="339"/>
      <c r="N105" s="339"/>
      <c r="O105" s="339"/>
      <c r="P105" s="339"/>
      <c r="Q105" s="339"/>
      <c r="R105" s="339"/>
      <c r="S105" s="339"/>
      <c r="T105" s="339">
        <v>500</v>
      </c>
      <c r="U105" s="339"/>
      <c r="V105" s="339"/>
      <c r="W105" s="339"/>
      <c r="X105" s="339"/>
      <c r="Y105" s="339"/>
      <c r="Z105" s="339"/>
      <c r="AA105" s="339"/>
      <c r="AB105" s="339">
        <v>500</v>
      </c>
      <c r="AC105" s="339"/>
      <c r="AD105" s="339"/>
      <c r="AE105" s="339">
        <v>500</v>
      </c>
      <c r="AF105" s="339">
        <f t="shared" si="41"/>
        <v>0</v>
      </c>
      <c r="AG105" s="339">
        <f t="shared" si="42"/>
        <v>0</v>
      </c>
      <c r="AH105" s="339">
        <v>500</v>
      </c>
      <c r="AI105" s="339"/>
      <c r="AJ105" s="339"/>
      <c r="AK105" s="339">
        <v>500</v>
      </c>
      <c r="AL105" s="388" t="s">
        <v>1213</v>
      </c>
      <c r="AM105" s="400"/>
      <c r="AO105" s="391"/>
      <c r="AP105" s="391"/>
      <c r="AQ105" s="391"/>
      <c r="AR105" s="391"/>
      <c r="AS105" s="391"/>
      <c r="AT105" s="391">
        <v>1</v>
      </c>
      <c r="AU105" s="391"/>
      <c r="AV105" s="391"/>
      <c r="AW105" s="391"/>
    </row>
    <row r="106" spans="1:49" s="390" customFormat="1" ht="79.5" customHeight="1">
      <c r="A106" s="398">
        <v>2</v>
      </c>
      <c r="B106" s="399" t="s">
        <v>1008</v>
      </c>
      <c r="C106" s="388" t="s">
        <v>39</v>
      </c>
      <c r="D106" s="260"/>
      <c r="E106" s="294"/>
      <c r="F106" s="388"/>
      <c r="G106" s="260"/>
      <c r="H106" s="339">
        <v>14900</v>
      </c>
      <c r="I106" s="339">
        <v>11900</v>
      </c>
      <c r="J106" s="339"/>
      <c r="K106" s="339"/>
      <c r="L106" s="339"/>
      <c r="M106" s="339"/>
      <c r="N106" s="339"/>
      <c r="O106" s="339"/>
      <c r="P106" s="339"/>
      <c r="Q106" s="339"/>
      <c r="R106" s="339"/>
      <c r="S106" s="339"/>
      <c r="T106" s="339">
        <v>500</v>
      </c>
      <c r="U106" s="339"/>
      <c r="V106" s="339"/>
      <c r="W106" s="339"/>
      <c r="X106" s="339"/>
      <c r="Y106" s="339"/>
      <c r="Z106" s="339"/>
      <c r="AA106" s="339"/>
      <c r="AB106" s="339">
        <v>500</v>
      </c>
      <c r="AC106" s="339"/>
      <c r="AD106" s="339"/>
      <c r="AE106" s="339">
        <v>500</v>
      </c>
      <c r="AF106" s="339">
        <f t="shared" si="41"/>
        <v>0</v>
      </c>
      <c r="AG106" s="339">
        <f t="shared" si="42"/>
        <v>0</v>
      </c>
      <c r="AH106" s="339">
        <v>500</v>
      </c>
      <c r="AI106" s="339"/>
      <c r="AJ106" s="339"/>
      <c r="AK106" s="339">
        <v>500</v>
      </c>
      <c r="AL106" s="388" t="s">
        <v>1213</v>
      </c>
      <c r="AM106" s="400"/>
      <c r="AO106" s="391"/>
      <c r="AP106" s="391"/>
      <c r="AQ106" s="391"/>
      <c r="AR106" s="391"/>
      <c r="AS106" s="391"/>
      <c r="AT106" s="391">
        <v>1</v>
      </c>
      <c r="AU106" s="391"/>
      <c r="AV106" s="391"/>
      <c r="AW106" s="391"/>
    </row>
    <row r="107" spans="1:49" s="390" customFormat="1" ht="56.25" customHeight="1">
      <c r="A107" s="398">
        <v>3</v>
      </c>
      <c r="B107" s="399" t="s">
        <v>1009</v>
      </c>
      <c r="C107" s="388" t="s">
        <v>39</v>
      </c>
      <c r="D107" s="260"/>
      <c r="E107" s="294"/>
      <c r="F107" s="388"/>
      <c r="G107" s="260"/>
      <c r="H107" s="339">
        <v>14900</v>
      </c>
      <c r="I107" s="339">
        <v>11900</v>
      </c>
      <c r="J107" s="339"/>
      <c r="K107" s="339"/>
      <c r="L107" s="339"/>
      <c r="M107" s="339"/>
      <c r="N107" s="339"/>
      <c r="O107" s="339"/>
      <c r="P107" s="339"/>
      <c r="Q107" s="339"/>
      <c r="R107" s="339"/>
      <c r="S107" s="339"/>
      <c r="T107" s="339">
        <v>500</v>
      </c>
      <c r="U107" s="339"/>
      <c r="V107" s="339"/>
      <c r="W107" s="339"/>
      <c r="X107" s="339"/>
      <c r="Y107" s="339"/>
      <c r="Z107" s="339"/>
      <c r="AA107" s="339"/>
      <c r="AB107" s="339">
        <v>500</v>
      </c>
      <c r="AC107" s="339"/>
      <c r="AD107" s="339"/>
      <c r="AE107" s="339">
        <v>500</v>
      </c>
      <c r="AF107" s="339">
        <f t="shared" si="41"/>
        <v>0</v>
      </c>
      <c r="AG107" s="339">
        <f t="shared" si="42"/>
        <v>0</v>
      </c>
      <c r="AH107" s="339">
        <v>500</v>
      </c>
      <c r="AI107" s="339"/>
      <c r="AJ107" s="339"/>
      <c r="AK107" s="339">
        <v>500</v>
      </c>
      <c r="AL107" s="388" t="s">
        <v>1213</v>
      </c>
      <c r="AM107" s="400"/>
      <c r="AO107" s="391"/>
      <c r="AP107" s="391"/>
      <c r="AQ107" s="391"/>
      <c r="AR107" s="391"/>
      <c r="AS107" s="391"/>
      <c r="AT107" s="391">
        <v>1</v>
      </c>
      <c r="AU107" s="391"/>
      <c r="AV107" s="391"/>
      <c r="AW107" s="391"/>
    </row>
    <row r="108" spans="1:49" s="390" customFormat="1" ht="56.25" customHeight="1">
      <c r="A108" s="398">
        <v>4</v>
      </c>
      <c r="B108" s="399" t="s">
        <v>1010</v>
      </c>
      <c r="C108" s="388" t="s">
        <v>39</v>
      </c>
      <c r="D108" s="260"/>
      <c r="E108" s="294"/>
      <c r="F108" s="388"/>
      <c r="G108" s="260"/>
      <c r="H108" s="339">
        <v>14900</v>
      </c>
      <c r="I108" s="339">
        <v>11900</v>
      </c>
      <c r="J108" s="339"/>
      <c r="K108" s="339"/>
      <c r="L108" s="339"/>
      <c r="M108" s="339"/>
      <c r="N108" s="339"/>
      <c r="O108" s="339"/>
      <c r="P108" s="339"/>
      <c r="Q108" s="339"/>
      <c r="R108" s="339"/>
      <c r="S108" s="339"/>
      <c r="T108" s="339">
        <v>500</v>
      </c>
      <c r="U108" s="339"/>
      <c r="V108" s="339"/>
      <c r="W108" s="339"/>
      <c r="X108" s="339"/>
      <c r="Y108" s="339"/>
      <c r="Z108" s="339"/>
      <c r="AA108" s="339"/>
      <c r="AB108" s="339">
        <v>500</v>
      </c>
      <c r="AC108" s="339"/>
      <c r="AD108" s="339"/>
      <c r="AE108" s="339">
        <v>500</v>
      </c>
      <c r="AF108" s="339">
        <f t="shared" si="41"/>
        <v>0</v>
      </c>
      <c r="AG108" s="339">
        <f t="shared" si="42"/>
        <v>0</v>
      </c>
      <c r="AH108" s="339">
        <v>500</v>
      </c>
      <c r="AI108" s="339"/>
      <c r="AJ108" s="339"/>
      <c r="AK108" s="339">
        <v>500</v>
      </c>
      <c r="AL108" s="388" t="s">
        <v>1213</v>
      </c>
      <c r="AM108" s="400"/>
      <c r="AO108" s="391"/>
      <c r="AP108" s="391"/>
      <c r="AQ108" s="391"/>
      <c r="AR108" s="391"/>
      <c r="AS108" s="391"/>
      <c r="AT108" s="391">
        <v>1</v>
      </c>
      <c r="AU108" s="391"/>
      <c r="AV108" s="391"/>
      <c r="AW108" s="391"/>
    </row>
    <row r="109" spans="1:49" s="390" customFormat="1" ht="72.75" customHeight="1">
      <c r="A109" s="398">
        <v>5</v>
      </c>
      <c r="B109" s="399" t="s">
        <v>1011</v>
      </c>
      <c r="C109" s="388" t="s">
        <v>39</v>
      </c>
      <c r="D109" s="260"/>
      <c r="E109" s="294"/>
      <c r="F109" s="388"/>
      <c r="G109" s="260"/>
      <c r="H109" s="339">
        <v>14900</v>
      </c>
      <c r="I109" s="339">
        <v>11900</v>
      </c>
      <c r="J109" s="339"/>
      <c r="K109" s="339"/>
      <c r="L109" s="339"/>
      <c r="M109" s="339"/>
      <c r="N109" s="339"/>
      <c r="O109" s="339"/>
      <c r="P109" s="339"/>
      <c r="Q109" s="339"/>
      <c r="R109" s="339"/>
      <c r="S109" s="339"/>
      <c r="T109" s="339">
        <v>500</v>
      </c>
      <c r="U109" s="339"/>
      <c r="V109" s="339"/>
      <c r="W109" s="339"/>
      <c r="X109" s="339"/>
      <c r="Y109" s="339"/>
      <c r="Z109" s="339"/>
      <c r="AA109" s="339"/>
      <c r="AB109" s="339">
        <v>500</v>
      </c>
      <c r="AC109" s="339"/>
      <c r="AD109" s="339"/>
      <c r="AE109" s="339">
        <v>500</v>
      </c>
      <c r="AF109" s="339">
        <f t="shared" si="41"/>
        <v>0</v>
      </c>
      <c r="AG109" s="339">
        <f t="shared" si="42"/>
        <v>0</v>
      </c>
      <c r="AH109" s="339">
        <v>500</v>
      </c>
      <c r="AI109" s="339"/>
      <c r="AJ109" s="339"/>
      <c r="AK109" s="339">
        <v>500</v>
      </c>
      <c r="AL109" s="388" t="s">
        <v>1213</v>
      </c>
      <c r="AM109" s="400"/>
      <c r="AO109" s="391"/>
      <c r="AP109" s="391"/>
      <c r="AQ109" s="391"/>
      <c r="AR109" s="391"/>
      <c r="AS109" s="391"/>
      <c r="AT109" s="391">
        <v>1</v>
      </c>
      <c r="AU109" s="391"/>
      <c r="AV109" s="391"/>
      <c r="AW109" s="391"/>
    </row>
    <row r="110" spans="1:49" s="396" customFormat="1" ht="34.5">
      <c r="A110" s="269" t="s">
        <v>471</v>
      </c>
      <c r="B110" s="270" t="s">
        <v>472</v>
      </c>
      <c r="C110" s="393"/>
      <c r="D110" s="261"/>
      <c r="E110" s="261"/>
      <c r="F110" s="393" t="s">
        <v>975</v>
      </c>
      <c r="G110" s="261"/>
      <c r="H110" s="394">
        <f t="shared" ref="H110:AG110" si="55">H111+H112+H114</f>
        <v>18002</v>
      </c>
      <c r="I110" s="394">
        <f t="shared" si="55"/>
        <v>18002</v>
      </c>
      <c r="J110" s="394">
        <f t="shared" si="55"/>
        <v>3200</v>
      </c>
      <c r="K110" s="394">
        <f t="shared" si="55"/>
        <v>3200</v>
      </c>
      <c r="L110" s="394">
        <f t="shared" si="55"/>
        <v>0</v>
      </c>
      <c r="M110" s="394">
        <f t="shared" si="55"/>
        <v>0</v>
      </c>
      <c r="N110" s="394">
        <f t="shared" si="55"/>
        <v>0</v>
      </c>
      <c r="O110" s="394">
        <f t="shared" si="55"/>
        <v>0</v>
      </c>
      <c r="P110" s="394">
        <f t="shared" si="55"/>
        <v>3200</v>
      </c>
      <c r="Q110" s="394">
        <f t="shared" si="55"/>
        <v>3200</v>
      </c>
      <c r="R110" s="394">
        <f t="shared" si="55"/>
        <v>6499</v>
      </c>
      <c r="S110" s="394">
        <f t="shared" si="55"/>
        <v>6499</v>
      </c>
      <c r="T110" s="394">
        <f t="shared" si="55"/>
        <v>12299</v>
      </c>
      <c r="U110" s="394">
        <f t="shared" si="55"/>
        <v>0</v>
      </c>
      <c r="V110" s="394">
        <f t="shared" si="55"/>
        <v>0</v>
      </c>
      <c r="W110" s="394">
        <f t="shared" si="55"/>
        <v>0</v>
      </c>
      <c r="X110" s="394">
        <f t="shared" si="55"/>
        <v>5899</v>
      </c>
      <c r="Y110" s="394">
        <f t="shared" si="55"/>
        <v>0</v>
      </c>
      <c r="Z110" s="394">
        <f t="shared" si="55"/>
        <v>0</v>
      </c>
      <c r="AA110" s="394">
        <f t="shared" si="55"/>
        <v>0</v>
      </c>
      <c r="AB110" s="394">
        <f t="shared" si="55"/>
        <v>901</v>
      </c>
      <c r="AC110" s="394">
        <f t="shared" si="55"/>
        <v>0</v>
      </c>
      <c r="AD110" s="394">
        <f t="shared" si="55"/>
        <v>0</v>
      </c>
      <c r="AE110" s="394">
        <f t="shared" si="55"/>
        <v>0</v>
      </c>
      <c r="AF110" s="394">
        <f t="shared" si="55"/>
        <v>5499</v>
      </c>
      <c r="AG110" s="394">
        <f t="shared" si="55"/>
        <v>0</v>
      </c>
      <c r="AH110" s="394">
        <f t="shared" ref="AH110:AK110" si="56">AH111+AH112+AH114</f>
        <v>6400</v>
      </c>
      <c r="AI110" s="394">
        <f t="shared" si="56"/>
        <v>0</v>
      </c>
      <c r="AJ110" s="394">
        <f t="shared" si="56"/>
        <v>0</v>
      </c>
      <c r="AK110" s="394">
        <f t="shared" si="56"/>
        <v>0</v>
      </c>
      <c r="AL110" s="393"/>
      <c r="AM110" s="400">
        <f t="shared" si="49"/>
        <v>5499</v>
      </c>
      <c r="AO110" s="397"/>
      <c r="AP110" s="397"/>
      <c r="AQ110" s="397"/>
      <c r="AR110" s="397"/>
      <c r="AS110" s="397"/>
      <c r="AT110" s="397"/>
      <c r="AU110" s="397"/>
      <c r="AV110" s="397"/>
      <c r="AW110" s="397"/>
    </row>
    <row r="111" spans="1:49" s="390" customFormat="1" ht="69.75" customHeight="1">
      <c r="A111" s="416" t="s">
        <v>120</v>
      </c>
      <c r="B111" s="417" t="s">
        <v>1195</v>
      </c>
      <c r="C111" s="388"/>
      <c r="D111" s="261"/>
      <c r="E111" s="261"/>
      <c r="F111" s="388" t="s">
        <v>975</v>
      </c>
      <c r="G111" s="261"/>
      <c r="H111" s="394"/>
      <c r="I111" s="394"/>
      <c r="J111" s="394"/>
      <c r="K111" s="394"/>
      <c r="L111" s="394"/>
      <c r="M111" s="394"/>
      <c r="N111" s="394"/>
      <c r="O111" s="394"/>
      <c r="P111" s="394"/>
      <c r="Q111" s="394"/>
      <c r="R111" s="394"/>
      <c r="S111" s="394"/>
      <c r="T111" s="394"/>
      <c r="U111" s="394"/>
      <c r="V111" s="394"/>
      <c r="W111" s="394"/>
      <c r="X111" s="394"/>
      <c r="Y111" s="394"/>
      <c r="Z111" s="394"/>
      <c r="AA111" s="394"/>
      <c r="AB111" s="394"/>
      <c r="AC111" s="394"/>
      <c r="AD111" s="394"/>
      <c r="AE111" s="394"/>
      <c r="AF111" s="339">
        <f t="shared" si="41"/>
        <v>0</v>
      </c>
      <c r="AG111" s="339">
        <f t="shared" si="42"/>
        <v>0</v>
      </c>
      <c r="AH111" s="394"/>
      <c r="AI111" s="394"/>
      <c r="AJ111" s="394"/>
      <c r="AK111" s="394"/>
      <c r="AL111" s="388"/>
      <c r="AM111" s="400">
        <f t="shared" si="49"/>
        <v>0</v>
      </c>
      <c r="AO111" s="391"/>
      <c r="AP111" s="391"/>
      <c r="AQ111" s="391"/>
      <c r="AR111" s="391"/>
      <c r="AS111" s="391"/>
      <c r="AT111" s="391"/>
      <c r="AU111" s="391"/>
      <c r="AV111" s="391"/>
      <c r="AW111" s="391"/>
    </row>
    <row r="112" spans="1:49" s="414" customFormat="1" ht="34.5">
      <c r="A112" s="404" t="s">
        <v>122</v>
      </c>
      <c r="B112" s="405" t="s">
        <v>1183</v>
      </c>
      <c r="C112" s="412"/>
      <c r="D112" s="282"/>
      <c r="E112" s="282"/>
      <c r="F112" s="412"/>
      <c r="G112" s="282"/>
      <c r="H112" s="407">
        <f t="shared" ref="H112:AG112" si="57">SUM(H113:H113)</f>
        <v>7000</v>
      </c>
      <c r="I112" s="407">
        <f t="shared" si="57"/>
        <v>7000</v>
      </c>
      <c r="J112" s="407">
        <f t="shared" si="57"/>
        <v>3000</v>
      </c>
      <c r="K112" s="407">
        <f t="shared" si="57"/>
        <v>3000</v>
      </c>
      <c r="L112" s="407">
        <f t="shared" si="57"/>
        <v>0</v>
      </c>
      <c r="M112" s="407">
        <f t="shared" si="57"/>
        <v>0</v>
      </c>
      <c r="N112" s="407">
        <f t="shared" si="57"/>
        <v>0</v>
      </c>
      <c r="O112" s="407">
        <f t="shared" si="57"/>
        <v>0</v>
      </c>
      <c r="P112" s="407">
        <f t="shared" si="57"/>
        <v>3000</v>
      </c>
      <c r="Q112" s="407">
        <f t="shared" si="57"/>
        <v>3000</v>
      </c>
      <c r="R112" s="407">
        <f t="shared" si="57"/>
        <v>6099</v>
      </c>
      <c r="S112" s="407">
        <f t="shared" si="57"/>
        <v>6099</v>
      </c>
      <c r="T112" s="407">
        <f t="shared" si="57"/>
        <v>6800</v>
      </c>
      <c r="U112" s="407">
        <f t="shared" si="57"/>
        <v>0</v>
      </c>
      <c r="V112" s="407">
        <f t="shared" si="57"/>
        <v>0</v>
      </c>
      <c r="W112" s="407">
        <f t="shared" si="57"/>
        <v>0</v>
      </c>
      <c r="X112" s="407">
        <f t="shared" si="57"/>
        <v>5899</v>
      </c>
      <c r="Y112" s="407">
        <f t="shared" si="57"/>
        <v>0</v>
      </c>
      <c r="Z112" s="407">
        <f t="shared" si="57"/>
        <v>0</v>
      </c>
      <c r="AA112" s="407">
        <f t="shared" si="57"/>
        <v>0</v>
      </c>
      <c r="AB112" s="407">
        <f t="shared" si="57"/>
        <v>901</v>
      </c>
      <c r="AC112" s="407">
        <f t="shared" si="57"/>
        <v>0</v>
      </c>
      <c r="AD112" s="407">
        <f t="shared" si="57"/>
        <v>0</v>
      </c>
      <c r="AE112" s="407">
        <f t="shared" si="57"/>
        <v>0</v>
      </c>
      <c r="AF112" s="407">
        <f t="shared" si="57"/>
        <v>0</v>
      </c>
      <c r="AG112" s="407">
        <f t="shared" si="57"/>
        <v>0</v>
      </c>
      <c r="AH112" s="407">
        <f t="shared" ref="AH112:AK112" si="58">SUM(AH113:AH113)</f>
        <v>901</v>
      </c>
      <c r="AI112" s="407">
        <f t="shared" si="58"/>
        <v>0</v>
      </c>
      <c r="AJ112" s="407">
        <f t="shared" si="58"/>
        <v>0</v>
      </c>
      <c r="AK112" s="407">
        <f t="shared" si="58"/>
        <v>0</v>
      </c>
      <c r="AL112" s="412"/>
      <c r="AM112" s="400">
        <f t="shared" si="49"/>
        <v>0</v>
      </c>
      <c r="AO112" s="415"/>
      <c r="AP112" s="415"/>
      <c r="AQ112" s="415"/>
      <c r="AR112" s="415"/>
      <c r="AS112" s="415"/>
      <c r="AT112" s="415"/>
      <c r="AU112" s="415"/>
      <c r="AV112" s="415"/>
      <c r="AW112" s="415"/>
    </row>
    <row r="113" spans="1:49" s="390" customFormat="1" ht="79.5" customHeight="1">
      <c r="A113" s="398">
        <v>1</v>
      </c>
      <c r="B113" s="399" t="s">
        <v>475</v>
      </c>
      <c r="C113" s="388" t="s">
        <v>39</v>
      </c>
      <c r="D113" s="260" t="s">
        <v>229</v>
      </c>
      <c r="E113" s="260"/>
      <c r="F113" s="388" t="s">
        <v>1165</v>
      </c>
      <c r="G113" s="260" t="s">
        <v>708</v>
      </c>
      <c r="H113" s="339">
        <v>7000</v>
      </c>
      <c r="I113" s="339">
        <v>7000</v>
      </c>
      <c r="J113" s="339">
        <v>3000</v>
      </c>
      <c r="K113" s="339">
        <v>3000</v>
      </c>
      <c r="L113" s="339"/>
      <c r="M113" s="339"/>
      <c r="N113" s="339"/>
      <c r="O113" s="339"/>
      <c r="P113" s="339">
        <v>3000</v>
      </c>
      <c r="Q113" s="339">
        <v>3000</v>
      </c>
      <c r="R113" s="339">
        <v>6099</v>
      </c>
      <c r="S113" s="339">
        <v>6099</v>
      </c>
      <c r="T113" s="339">
        <v>6800</v>
      </c>
      <c r="U113" s="339"/>
      <c r="V113" s="339"/>
      <c r="W113" s="339"/>
      <c r="X113" s="339">
        <v>5899</v>
      </c>
      <c r="Y113" s="339"/>
      <c r="Z113" s="339"/>
      <c r="AA113" s="339"/>
      <c r="AB113" s="339">
        <v>901</v>
      </c>
      <c r="AC113" s="339"/>
      <c r="AD113" s="339"/>
      <c r="AE113" s="339"/>
      <c r="AF113" s="339">
        <f t="shared" si="41"/>
        <v>0</v>
      </c>
      <c r="AG113" s="339">
        <f t="shared" si="42"/>
        <v>0</v>
      </c>
      <c r="AH113" s="339">
        <v>901</v>
      </c>
      <c r="AI113" s="339"/>
      <c r="AJ113" s="339"/>
      <c r="AK113" s="339"/>
      <c r="AL113" s="388"/>
      <c r="AM113" s="400">
        <f t="shared" si="49"/>
        <v>0</v>
      </c>
      <c r="AO113" s="391"/>
      <c r="AP113" s="391"/>
      <c r="AQ113" s="391">
        <v>1</v>
      </c>
      <c r="AR113" s="391"/>
      <c r="AS113" s="391"/>
      <c r="AT113" s="391"/>
      <c r="AU113" s="391"/>
      <c r="AV113" s="391">
        <v>1</v>
      </c>
      <c r="AW113" s="391" t="s">
        <v>1214</v>
      </c>
    </row>
    <row r="114" spans="1:49" s="414" customFormat="1">
      <c r="A114" s="404" t="s">
        <v>350</v>
      </c>
      <c r="B114" s="405" t="s">
        <v>1192</v>
      </c>
      <c r="C114" s="412"/>
      <c r="D114" s="282"/>
      <c r="E114" s="282"/>
      <c r="F114" s="412"/>
      <c r="G114" s="282"/>
      <c r="H114" s="407">
        <f>H115</f>
        <v>11002</v>
      </c>
      <c r="I114" s="407">
        <f t="shared" ref="I114:AG114" si="59">I115</f>
        <v>11002</v>
      </c>
      <c r="J114" s="407">
        <f t="shared" si="59"/>
        <v>200</v>
      </c>
      <c r="K114" s="407">
        <f t="shared" si="59"/>
        <v>200</v>
      </c>
      <c r="L114" s="407">
        <f t="shared" si="59"/>
        <v>0</v>
      </c>
      <c r="M114" s="407">
        <f t="shared" si="59"/>
        <v>0</v>
      </c>
      <c r="N114" s="407">
        <f t="shared" si="59"/>
        <v>0</v>
      </c>
      <c r="O114" s="407">
        <f t="shared" si="59"/>
        <v>0</v>
      </c>
      <c r="P114" s="407">
        <f t="shared" si="59"/>
        <v>200</v>
      </c>
      <c r="Q114" s="407">
        <f t="shared" si="59"/>
        <v>200</v>
      </c>
      <c r="R114" s="407">
        <f t="shared" si="59"/>
        <v>400</v>
      </c>
      <c r="S114" s="407">
        <f t="shared" si="59"/>
        <v>400</v>
      </c>
      <c r="T114" s="407">
        <f t="shared" si="59"/>
        <v>5499</v>
      </c>
      <c r="U114" s="407">
        <f t="shared" si="59"/>
        <v>0</v>
      </c>
      <c r="V114" s="407">
        <f t="shared" si="59"/>
        <v>0</v>
      </c>
      <c r="W114" s="407">
        <f t="shared" si="59"/>
        <v>0</v>
      </c>
      <c r="X114" s="407">
        <f t="shared" si="59"/>
        <v>0</v>
      </c>
      <c r="Y114" s="407">
        <f t="shared" si="59"/>
        <v>0</v>
      </c>
      <c r="Z114" s="407">
        <f t="shared" si="59"/>
        <v>0</v>
      </c>
      <c r="AA114" s="407">
        <f t="shared" si="59"/>
        <v>0</v>
      </c>
      <c r="AB114" s="407">
        <f t="shared" si="59"/>
        <v>0</v>
      </c>
      <c r="AC114" s="407">
        <f t="shared" si="59"/>
        <v>0</v>
      </c>
      <c r="AD114" s="407">
        <f t="shared" si="59"/>
        <v>0</v>
      </c>
      <c r="AE114" s="407">
        <f t="shared" si="59"/>
        <v>0</v>
      </c>
      <c r="AF114" s="407">
        <f t="shared" si="59"/>
        <v>5499</v>
      </c>
      <c r="AG114" s="407">
        <f t="shared" si="59"/>
        <v>0</v>
      </c>
      <c r="AH114" s="407">
        <f t="shared" ref="AH114:AK114" si="60">AH115</f>
        <v>5499</v>
      </c>
      <c r="AI114" s="407">
        <f t="shared" si="60"/>
        <v>0</v>
      </c>
      <c r="AJ114" s="407">
        <f t="shared" si="60"/>
        <v>0</v>
      </c>
      <c r="AK114" s="407">
        <f t="shared" si="60"/>
        <v>0</v>
      </c>
      <c r="AL114" s="412"/>
      <c r="AM114" s="400">
        <f t="shared" si="49"/>
        <v>5499</v>
      </c>
      <c r="AO114" s="415"/>
      <c r="AP114" s="415"/>
      <c r="AQ114" s="415"/>
      <c r="AR114" s="415"/>
      <c r="AS114" s="415"/>
      <c r="AT114" s="415"/>
      <c r="AU114" s="415"/>
      <c r="AV114" s="415"/>
      <c r="AW114" s="415"/>
    </row>
    <row r="115" spans="1:49" s="390" customFormat="1" ht="57" customHeight="1">
      <c r="A115" s="398">
        <v>1</v>
      </c>
      <c r="B115" s="399" t="s">
        <v>1215</v>
      </c>
      <c r="C115" s="388" t="s">
        <v>39</v>
      </c>
      <c r="D115" s="260" t="s">
        <v>229</v>
      </c>
      <c r="E115" s="260"/>
      <c r="F115" s="388" t="s">
        <v>1176</v>
      </c>
      <c r="G115" s="260" t="s">
        <v>1049</v>
      </c>
      <c r="H115" s="339">
        <v>11002</v>
      </c>
      <c r="I115" s="339">
        <v>11002</v>
      </c>
      <c r="J115" s="339">
        <v>200</v>
      </c>
      <c r="K115" s="339">
        <v>200</v>
      </c>
      <c r="L115" s="339"/>
      <c r="M115" s="339"/>
      <c r="N115" s="339"/>
      <c r="O115" s="339"/>
      <c r="P115" s="339">
        <v>200</v>
      </c>
      <c r="Q115" s="339">
        <v>200</v>
      </c>
      <c r="R115" s="339">
        <v>400</v>
      </c>
      <c r="S115" s="339">
        <v>400</v>
      </c>
      <c r="T115" s="339">
        <v>5499</v>
      </c>
      <c r="U115" s="339"/>
      <c r="V115" s="339"/>
      <c r="W115" s="339"/>
      <c r="X115" s="339">
        <v>0</v>
      </c>
      <c r="Y115" s="339"/>
      <c r="Z115" s="339"/>
      <c r="AA115" s="339"/>
      <c r="AB115" s="339">
        <v>0</v>
      </c>
      <c r="AC115" s="339"/>
      <c r="AD115" s="339"/>
      <c r="AE115" s="339"/>
      <c r="AF115" s="339">
        <f t="shared" si="41"/>
        <v>5499</v>
      </c>
      <c r="AG115" s="339">
        <f t="shared" si="42"/>
        <v>0</v>
      </c>
      <c r="AH115" s="339">
        <v>5499</v>
      </c>
      <c r="AI115" s="339"/>
      <c r="AJ115" s="339"/>
      <c r="AK115" s="339"/>
      <c r="AL115" s="388"/>
      <c r="AM115" s="400">
        <f t="shared" si="49"/>
        <v>5499</v>
      </c>
      <c r="AN115" s="411" t="s">
        <v>1216</v>
      </c>
      <c r="AO115" s="388"/>
      <c r="AP115" s="388"/>
      <c r="AQ115" s="388"/>
      <c r="AR115" s="388"/>
      <c r="AS115" s="388">
        <v>1</v>
      </c>
      <c r="AT115" s="388"/>
      <c r="AU115" s="388"/>
      <c r="AV115" s="391"/>
      <c r="AW115" s="391"/>
    </row>
    <row r="116" spans="1:49" s="396" customFormat="1" ht="51" customHeight="1">
      <c r="A116" s="269" t="s">
        <v>476</v>
      </c>
      <c r="B116" s="270" t="s">
        <v>477</v>
      </c>
      <c r="C116" s="393"/>
      <c r="D116" s="261"/>
      <c r="E116" s="261"/>
      <c r="F116" s="393" t="s">
        <v>975</v>
      </c>
      <c r="G116" s="261"/>
      <c r="H116" s="394">
        <f t="shared" ref="H116:AG116" si="61">H117+H118+H121</f>
        <v>167695</v>
      </c>
      <c r="I116" s="394">
        <f t="shared" si="61"/>
        <v>61000</v>
      </c>
      <c r="J116" s="394">
        <f t="shared" si="61"/>
        <v>25000</v>
      </c>
      <c r="K116" s="394">
        <f t="shared" si="61"/>
        <v>25000</v>
      </c>
      <c r="L116" s="394">
        <f t="shared" si="61"/>
        <v>4870.0460000000003</v>
      </c>
      <c r="M116" s="394">
        <f t="shared" si="61"/>
        <v>4870.0460000000003</v>
      </c>
      <c r="N116" s="394">
        <f t="shared" si="61"/>
        <v>9598.6849999999995</v>
      </c>
      <c r="O116" s="394">
        <f t="shared" si="61"/>
        <v>9598.6849999999995</v>
      </c>
      <c r="P116" s="394">
        <f t="shared" si="61"/>
        <v>25000</v>
      </c>
      <c r="Q116" s="394">
        <f t="shared" si="61"/>
        <v>25000</v>
      </c>
      <c r="R116" s="394">
        <f t="shared" si="61"/>
        <v>16119</v>
      </c>
      <c r="S116" s="394">
        <f t="shared" si="61"/>
        <v>16119</v>
      </c>
      <c r="T116" s="394">
        <f t="shared" si="61"/>
        <v>53500</v>
      </c>
      <c r="U116" s="394">
        <f t="shared" si="61"/>
        <v>0</v>
      </c>
      <c r="V116" s="394">
        <f t="shared" si="61"/>
        <v>0</v>
      </c>
      <c r="W116" s="394">
        <f t="shared" si="61"/>
        <v>0</v>
      </c>
      <c r="X116" s="394">
        <f t="shared" si="61"/>
        <v>31119</v>
      </c>
      <c r="Y116" s="394">
        <f t="shared" si="61"/>
        <v>0</v>
      </c>
      <c r="Z116" s="394">
        <f t="shared" si="61"/>
        <v>0</v>
      </c>
      <c r="AA116" s="394">
        <f t="shared" si="61"/>
        <v>0</v>
      </c>
      <c r="AB116" s="394">
        <f t="shared" si="61"/>
        <v>22381</v>
      </c>
      <c r="AC116" s="394">
        <f t="shared" si="61"/>
        <v>0</v>
      </c>
      <c r="AD116" s="394">
        <f t="shared" si="61"/>
        <v>0</v>
      </c>
      <c r="AE116" s="394">
        <f t="shared" si="61"/>
        <v>500</v>
      </c>
      <c r="AF116" s="394">
        <f t="shared" si="61"/>
        <v>0</v>
      </c>
      <c r="AG116" s="394">
        <f t="shared" si="61"/>
        <v>0</v>
      </c>
      <c r="AH116" s="394">
        <f t="shared" ref="AH116:AK116" si="62">AH117+AH118+AH121</f>
        <v>22381</v>
      </c>
      <c r="AI116" s="394">
        <f t="shared" si="62"/>
        <v>0</v>
      </c>
      <c r="AJ116" s="394">
        <f t="shared" si="62"/>
        <v>0</v>
      </c>
      <c r="AK116" s="394">
        <f t="shared" si="62"/>
        <v>500</v>
      </c>
      <c r="AL116" s="393"/>
      <c r="AM116" s="400">
        <f t="shared" si="49"/>
        <v>0</v>
      </c>
      <c r="AO116" s="397"/>
      <c r="AP116" s="397"/>
      <c r="AQ116" s="397"/>
      <c r="AR116" s="397"/>
      <c r="AS116" s="397"/>
      <c r="AT116" s="397"/>
      <c r="AU116" s="397"/>
      <c r="AV116" s="397"/>
      <c r="AW116" s="397"/>
    </row>
    <row r="117" spans="1:49" s="414" customFormat="1" ht="51.75">
      <c r="A117" s="416" t="s">
        <v>120</v>
      </c>
      <c r="B117" s="417" t="s">
        <v>1195</v>
      </c>
      <c r="C117" s="412"/>
      <c r="D117" s="282"/>
      <c r="E117" s="282"/>
      <c r="F117" s="412" t="s">
        <v>975</v>
      </c>
      <c r="G117" s="282"/>
      <c r="H117" s="407"/>
      <c r="I117" s="407"/>
      <c r="J117" s="407"/>
      <c r="K117" s="407"/>
      <c r="L117" s="407"/>
      <c r="M117" s="407"/>
      <c r="N117" s="407"/>
      <c r="O117" s="407"/>
      <c r="P117" s="407"/>
      <c r="Q117" s="407"/>
      <c r="R117" s="407"/>
      <c r="S117" s="407"/>
      <c r="T117" s="407"/>
      <c r="U117" s="407"/>
      <c r="V117" s="407"/>
      <c r="W117" s="407"/>
      <c r="X117" s="407"/>
      <c r="Y117" s="407"/>
      <c r="Z117" s="407"/>
      <c r="AA117" s="407"/>
      <c r="AB117" s="407"/>
      <c r="AC117" s="407"/>
      <c r="AD117" s="407"/>
      <c r="AE117" s="407"/>
      <c r="AF117" s="339">
        <f t="shared" si="41"/>
        <v>0</v>
      </c>
      <c r="AG117" s="339">
        <f t="shared" si="42"/>
        <v>0</v>
      </c>
      <c r="AH117" s="407"/>
      <c r="AI117" s="407"/>
      <c r="AJ117" s="407"/>
      <c r="AK117" s="407"/>
      <c r="AL117" s="412"/>
      <c r="AM117" s="400">
        <f t="shared" si="49"/>
        <v>0</v>
      </c>
      <c r="AO117" s="415"/>
      <c r="AP117" s="415"/>
      <c r="AQ117" s="415"/>
      <c r="AR117" s="415"/>
      <c r="AS117" s="415"/>
      <c r="AT117" s="415"/>
      <c r="AU117" s="415"/>
      <c r="AV117" s="415"/>
      <c r="AW117" s="415"/>
    </row>
    <row r="118" spans="1:49" s="414" customFormat="1" ht="51" customHeight="1">
      <c r="A118" s="404" t="s">
        <v>122</v>
      </c>
      <c r="B118" s="405" t="s">
        <v>1183</v>
      </c>
      <c r="C118" s="412"/>
      <c r="D118" s="282"/>
      <c r="E118" s="282"/>
      <c r="F118" s="412"/>
      <c r="G118" s="282"/>
      <c r="H118" s="407">
        <f>SUM(H119:H120)</f>
        <v>159695</v>
      </c>
      <c r="I118" s="407">
        <f t="shared" ref="I118:AG118" si="63">SUM(I119:I120)</f>
        <v>53000</v>
      </c>
      <c r="J118" s="407">
        <f t="shared" si="63"/>
        <v>25000</v>
      </c>
      <c r="K118" s="407">
        <f t="shared" si="63"/>
        <v>25000</v>
      </c>
      <c r="L118" s="407">
        <f t="shared" si="63"/>
        <v>4870.0460000000003</v>
      </c>
      <c r="M118" s="407">
        <f t="shared" si="63"/>
        <v>4870.0460000000003</v>
      </c>
      <c r="N118" s="407">
        <f t="shared" si="63"/>
        <v>9598.6849999999995</v>
      </c>
      <c r="O118" s="407">
        <f t="shared" si="63"/>
        <v>9598.6849999999995</v>
      </c>
      <c r="P118" s="407">
        <f t="shared" si="63"/>
        <v>25000</v>
      </c>
      <c r="Q118" s="407">
        <f t="shared" si="63"/>
        <v>25000</v>
      </c>
      <c r="R118" s="407">
        <f t="shared" si="63"/>
        <v>16119</v>
      </c>
      <c r="S118" s="407">
        <f t="shared" si="63"/>
        <v>16119</v>
      </c>
      <c r="T118" s="407">
        <f t="shared" si="63"/>
        <v>53000</v>
      </c>
      <c r="U118" s="407">
        <f t="shared" si="63"/>
        <v>0</v>
      </c>
      <c r="V118" s="407">
        <f t="shared" si="63"/>
        <v>0</v>
      </c>
      <c r="W118" s="407">
        <f t="shared" si="63"/>
        <v>0</v>
      </c>
      <c r="X118" s="407">
        <f t="shared" si="63"/>
        <v>31119</v>
      </c>
      <c r="Y118" s="407">
        <f t="shared" si="63"/>
        <v>0</v>
      </c>
      <c r="Z118" s="407">
        <f t="shared" si="63"/>
        <v>0</v>
      </c>
      <c r="AA118" s="407">
        <f t="shared" si="63"/>
        <v>0</v>
      </c>
      <c r="AB118" s="407">
        <f t="shared" si="63"/>
        <v>21881</v>
      </c>
      <c r="AC118" s="407">
        <f t="shared" si="63"/>
        <v>0</v>
      </c>
      <c r="AD118" s="407">
        <f t="shared" si="63"/>
        <v>0</v>
      </c>
      <c r="AE118" s="407">
        <f t="shared" si="63"/>
        <v>0</v>
      </c>
      <c r="AF118" s="407">
        <f t="shared" si="63"/>
        <v>0</v>
      </c>
      <c r="AG118" s="407">
        <f t="shared" si="63"/>
        <v>0</v>
      </c>
      <c r="AH118" s="407">
        <f t="shared" ref="AH118:AK118" si="64">SUM(AH119:AH120)</f>
        <v>21881</v>
      </c>
      <c r="AI118" s="407">
        <f t="shared" si="64"/>
        <v>0</v>
      </c>
      <c r="AJ118" s="407">
        <f t="shared" si="64"/>
        <v>0</v>
      </c>
      <c r="AK118" s="407">
        <f t="shared" si="64"/>
        <v>0</v>
      </c>
      <c r="AL118" s="412"/>
      <c r="AM118" s="400">
        <f t="shared" si="49"/>
        <v>0</v>
      </c>
      <c r="AO118" s="415"/>
      <c r="AP118" s="415"/>
      <c r="AQ118" s="415"/>
      <c r="AR118" s="415"/>
      <c r="AS118" s="415"/>
      <c r="AT118" s="415"/>
      <c r="AU118" s="415"/>
      <c r="AV118" s="415"/>
      <c r="AW118" s="415"/>
    </row>
    <row r="119" spans="1:49" s="390" customFormat="1" ht="56.25" customHeight="1">
      <c r="A119" s="398">
        <v>1</v>
      </c>
      <c r="B119" s="399" t="s">
        <v>488</v>
      </c>
      <c r="C119" s="388" t="s">
        <v>39</v>
      </c>
      <c r="D119" s="260" t="s">
        <v>229</v>
      </c>
      <c r="E119" s="260" t="s">
        <v>720</v>
      </c>
      <c r="F119" s="388" t="s">
        <v>1165</v>
      </c>
      <c r="G119" s="260" t="s">
        <v>721</v>
      </c>
      <c r="H119" s="339">
        <v>28000</v>
      </c>
      <c r="I119" s="339">
        <v>28000</v>
      </c>
      <c r="J119" s="339">
        <v>10000</v>
      </c>
      <c r="K119" s="339">
        <v>10000</v>
      </c>
      <c r="L119" s="339">
        <v>4870.0460000000003</v>
      </c>
      <c r="M119" s="339">
        <v>4870.0460000000003</v>
      </c>
      <c r="N119" s="339">
        <v>9598.6849999999995</v>
      </c>
      <c r="O119" s="339">
        <v>9598.6849999999995</v>
      </c>
      <c r="P119" s="339">
        <v>10000</v>
      </c>
      <c r="Q119" s="339">
        <v>10000</v>
      </c>
      <c r="R119" s="339">
        <v>16119</v>
      </c>
      <c r="S119" s="339">
        <v>16119</v>
      </c>
      <c r="T119" s="339">
        <v>28000</v>
      </c>
      <c r="U119" s="339"/>
      <c r="V119" s="339"/>
      <c r="W119" s="339"/>
      <c r="X119" s="339">
        <v>16119</v>
      </c>
      <c r="Y119" s="339"/>
      <c r="Z119" s="339"/>
      <c r="AA119" s="339"/>
      <c r="AB119" s="339">
        <v>11881</v>
      </c>
      <c r="AC119" s="339"/>
      <c r="AD119" s="339"/>
      <c r="AE119" s="339"/>
      <c r="AF119" s="339">
        <f t="shared" si="41"/>
        <v>0</v>
      </c>
      <c r="AG119" s="339">
        <f t="shared" si="42"/>
        <v>0</v>
      </c>
      <c r="AH119" s="339">
        <v>11881</v>
      </c>
      <c r="AI119" s="339"/>
      <c r="AJ119" s="339"/>
      <c r="AK119" s="339"/>
      <c r="AL119" s="388"/>
      <c r="AM119" s="400">
        <f t="shared" si="49"/>
        <v>0</v>
      </c>
      <c r="AO119" s="391"/>
      <c r="AP119" s="391"/>
      <c r="AQ119" s="391">
        <v>1</v>
      </c>
      <c r="AR119" s="391"/>
      <c r="AS119" s="391"/>
      <c r="AT119" s="391"/>
      <c r="AU119" s="391"/>
      <c r="AV119" s="391">
        <v>1</v>
      </c>
      <c r="AW119" s="391" t="s">
        <v>1187</v>
      </c>
    </row>
    <row r="120" spans="1:49" s="390" customFormat="1" ht="180" customHeight="1">
      <c r="A120" s="398">
        <v>2</v>
      </c>
      <c r="B120" s="399" t="s">
        <v>487</v>
      </c>
      <c r="C120" s="388" t="s">
        <v>38</v>
      </c>
      <c r="D120" s="260" t="s">
        <v>229</v>
      </c>
      <c r="E120" s="260"/>
      <c r="F120" s="388"/>
      <c r="G120" s="260" t="s">
        <v>297</v>
      </c>
      <c r="H120" s="339">
        <v>131695</v>
      </c>
      <c r="I120" s="339">
        <v>25000</v>
      </c>
      <c r="J120" s="339">
        <v>15000</v>
      </c>
      <c r="K120" s="339">
        <v>15000</v>
      </c>
      <c r="L120" s="339"/>
      <c r="M120" s="339"/>
      <c r="N120" s="339"/>
      <c r="O120" s="339"/>
      <c r="P120" s="339">
        <v>15000</v>
      </c>
      <c r="Q120" s="339">
        <v>15000</v>
      </c>
      <c r="R120" s="339"/>
      <c r="S120" s="339"/>
      <c r="T120" s="339">
        <v>25000</v>
      </c>
      <c r="U120" s="339"/>
      <c r="V120" s="339"/>
      <c r="W120" s="339"/>
      <c r="X120" s="339">
        <v>15000</v>
      </c>
      <c r="Y120" s="339"/>
      <c r="Z120" s="339"/>
      <c r="AA120" s="339"/>
      <c r="AB120" s="339">
        <v>10000</v>
      </c>
      <c r="AC120" s="339"/>
      <c r="AD120" s="339"/>
      <c r="AE120" s="339"/>
      <c r="AF120" s="339">
        <f t="shared" si="41"/>
        <v>0</v>
      </c>
      <c r="AG120" s="339">
        <f t="shared" si="42"/>
        <v>0</v>
      </c>
      <c r="AH120" s="339">
        <v>10000</v>
      </c>
      <c r="AI120" s="339"/>
      <c r="AJ120" s="339"/>
      <c r="AK120" s="339"/>
      <c r="AL120" s="391"/>
      <c r="AM120" s="400">
        <f t="shared" si="49"/>
        <v>0</v>
      </c>
      <c r="AO120" s="391"/>
      <c r="AP120" s="391"/>
      <c r="AQ120" s="391">
        <v>1</v>
      </c>
      <c r="AR120" s="391"/>
      <c r="AS120" s="391"/>
      <c r="AT120" s="391"/>
      <c r="AU120" s="391"/>
      <c r="AV120" s="391">
        <v>1</v>
      </c>
      <c r="AW120" s="391" t="s">
        <v>1187</v>
      </c>
    </row>
    <row r="121" spans="1:49" s="414" customFormat="1" ht="47.25" customHeight="1">
      <c r="A121" s="404" t="s">
        <v>350</v>
      </c>
      <c r="B121" s="405" t="s">
        <v>1188</v>
      </c>
      <c r="C121" s="412"/>
      <c r="D121" s="282"/>
      <c r="E121" s="282"/>
      <c r="F121" s="412"/>
      <c r="G121" s="282"/>
      <c r="H121" s="407">
        <f>H122</f>
        <v>8000</v>
      </c>
      <c r="I121" s="407">
        <f t="shared" ref="I121:AG121" si="65">I122</f>
        <v>8000</v>
      </c>
      <c r="J121" s="407">
        <f t="shared" si="65"/>
        <v>0</v>
      </c>
      <c r="K121" s="407">
        <f t="shared" si="65"/>
        <v>0</v>
      </c>
      <c r="L121" s="407">
        <f t="shared" si="65"/>
        <v>0</v>
      </c>
      <c r="M121" s="407">
        <f t="shared" si="65"/>
        <v>0</v>
      </c>
      <c r="N121" s="407">
        <f t="shared" si="65"/>
        <v>0</v>
      </c>
      <c r="O121" s="407">
        <f t="shared" si="65"/>
        <v>0</v>
      </c>
      <c r="P121" s="407">
        <f t="shared" si="65"/>
        <v>0</v>
      </c>
      <c r="Q121" s="407">
        <f t="shared" si="65"/>
        <v>0</v>
      </c>
      <c r="R121" s="407">
        <f t="shared" si="65"/>
        <v>0</v>
      </c>
      <c r="S121" s="407">
        <f t="shared" si="65"/>
        <v>0</v>
      </c>
      <c r="T121" s="407">
        <f t="shared" si="65"/>
        <v>500</v>
      </c>
      <c r="U121" s="407">
        <f t="shared" si="65"/>
        <v>0</v>
      </c>
      <c r="V121" s="407">
        <f t="shared" si="65"/>
        <v>0</v>
      </c>
      <c r="W121" s="407">
        <f t="shared" si="65"/>
        <v>0</v>
      </c>
      <c r="X121" s="407">
        <f t="shared" si="65"/>
        <v>0</v>
      </c>
      <c r="Y121" s="407">
        <f t="shared" si="65"/>
        <v>0</v>
      </c>
      <c r="Z121" s="407">
        <f t="shared" si="65"/>
        <v>0</v>
      </c>
      <c r="AA121" s="407">
        <f t="shared" si="65"/>
        <v>0</v>
      </c>
      <c r="AB121" s="407">
        <f t="shared" si="65"/>
        <v>500</v>
      </c>
      <c r="AC121" s="407">
        <f t="shared" si="65"/>
        <v>0</v>
      </c>
      <c r="AD121" s="407">
        <f t="shared" si="65"/>
        <v>0</v>
      </c>
      <c r="AE121" s="407">
        <f t="shared" si="65"/>
        <v>500</v>
      </c>
      <c r="AF121" s="407">
        <f t="shared" si="65"/>
        <v>0</v>
      </c>
      <c r="AG121" s="407">
        <f t="shared" si="65"/>
        <v>0</v>
      </c>
      <c r="AH121" s="407">
        <f t="shared" ref="AH121:AK121" si="66">AH122</f>
        <v>500</v>
      </c>
      <c r="AI121" s="407">
        <f t="shared" si="66"/>
        <v>0</v>
      </c>
      <c r="AJ121" s="407">
        <f t="shared" si="66"/>
        <v>0</v>
      </c>
      <c r="AK121" s="407">
        <f t="shared" si="66"/>
        <v>500</v>
      </c>
      <c r="AL121" s="412"/>
      <c r="AM121" s="400">
        <f t="shared" si="49"/>
        <v>0</v>
      </c>
      <c r="AO121" s="415"/>
      <c r="AP121" s="415"/>
      <c r="AQ121" s="415"/>
      <c r="AR121" s="415"/>
      <c r="AS121" s="415"/>
      <c r="AT121" s="415"/>
      <c r="AU121" s="415"/>
      <c r="AV121" s="415"/>
      <c r="AW121" s="415"/>
    </row>
    <row r="122" spans="1:49" s="390" customFormat="1" ht="47.25" customHeight="1">
      <c r="A122" s="398">
        <v>1</v>
      </c>
      <c r="B122" s="399" t="s">
        <v>484</v>
      </c>
      <c r="C122" s="388"/>
      <c r="D122" s="260"/>
      <c r="E122" s="260"/>
      <c r="F122" s="388" t="s">
        <v>975</v>
      </c>
      <c r="G122" s="260"/>
      <c r="H122" s="339">
        <v>8000</v>
      </c>
      <c r="I122" s="339">
        <v>8000</v>
      </c>
      <c r="J122" s="339"/>
      <c r="K122" s="339"/>
      <c r="L122" s="339"/>
      <c r="M122" s="339"/>
      <c r="N122" s="339"/>
      <c r="O122" s="339"/>
      <c r="P122" s="339"/>
      <c r="Q122" s="339"/>
      <c r="R122" s="339">
        <v>0</v>
      </c>
      <c r="S122" s="339">
        <v>0</v>
      </c>
      <c r="T122" s="339">
        <v>500</v>
      </c>
      <c r="U122" s="339"/>
      <c r="V122" s="339"/>
      <c r="W122" s="339"/>
      <c r="X122" s="339">
        <v>0</v>
      </c>
      <c r="Y122" s="339"/>
      <c r="Z122" s="339"/>
      <c r="AA122" s="339"/>
      <c r="AB122" s="339">
        <v>500</v>
      </c>
      <c r="AC122" s="339"/>
      <c r="AD122" s="339"/>
      <c r="AE122" s="339">
        <v>500</v>
      </c>
      <c r="AF122" s="339">
        <f t="shared" si="41"/>
        <v>0</v>
      </c>
      <c r="AG122" s="339">
        <f t="shared" si="42"/>
        <v>0</v>
      </c>
      <c r="AH122" s="339">
        <v>500</v>
      </c>
      <c r="AI122" s="339"/>
      <c r="AJ122" s="339"/>
      <c r="AK122" s="339">
        <v>500</v>
      </c>
      <c r="AL122" s="388"/>
      <c r="AM122" s="400">
        <f t="shared" si="49"/>
        <v>0</v>
      </c>
      <c r="AO122" s="391"/>
      <c r="AP122" s="391"/>
      <c r="AQ122" s="391"/>
      <c r="AR122" s="391"/>
      <c r="AS122" s="391"/>
      <c r="AT122" s="391">
        <v>1</v>
      </c>
      <c r="AU122" s="391"/>
      <c r="AV122" s="391"/>
      <c r="AW122" s="391"/>
    </row>
    <row r="123" spans="1:49" s="396" customFormat="1">
      <c r="A123" s="269" t="s">
        <v>489</v>
      </c>
      <c r="B123" s="270" t="s">
        <v>490</v>
      </c>
      <c r="C123" s="393"/>
      <c r="D123" s="261"/>
      <c r="E123" s="261"/>
      <c r="F123" s="393" t="s">
        <v>975</v>
      </c>
      <c r="G123" s="261"/>
      <c r="H123" s="394">
        <f>H124</f>
        <v>0</v>
      </c>
      <c r="I123" s="394">
        <f t="shared" ref="I123:AG123" si="67">I124</f>
        <v>0</v>
      </c>
      <c r="J123" s="394">
        <f t="shared" si="67"/>
        <v>0</v>
      </c>
      <c r="K123" s="394">
        <f t="shared" si="67"/>
        <v>0</v>
      </c>
      <c r="L123" s="394">
        <f t="shared" si="67"/>
        <v>0</v>
      </c>
      <c r="M123" s="394">
        <f t="shared" si="67"/>
        <v>0</v>
      </c>
      <c r="N123" s="394">
        <f t="shared" si="67"/>
        <v>0</v>
      </c>
      <c r="O123" s="394">
        <f t="shared" si="67"/>
        <v>0</v>
      </c>
      <c r="P123" s="394">
        <f t="shared" si="67"/>
        <v>0</v>
      </c>
      <c r="Q123" s="394">
        <f t="shared" si="67"/>
        <v>0</v>
      </c>
      <c r="R123" s="394">
        <f t="shared" si="67"/>
        <v>0</v>
      </c>
      <c r="S123" s="394">
        <f t="shared" si="67"/>
        <v>0</v>
      </c>
      <c r="T123" s="394">
        <f t="shared" si="67"/>
        <v>0</v>
      </c>
      <c r="U123" s="394">
        <f t="shared" si="67"/>
        <v>0</v>
      </c>
      <c r="V123" s="394">
        <f t="shared" si="67"/>
        <v>0</v>
      </c>
      <c r="W123" s="394">
        <f t="shared" si="67"/>
        <v>0</v>
      </c>
      <c r="X123" s="394">
        <f t="shared" si="67"/>
        <v>0</v>
      </c>
      <c r="Y123" s="394">
        <f t="shared" si="67"/>
        <v>0</v>
      </c>
      <c r="Z123" s="394">
        <f t="shared" si="67"/>
        <v>0</v>
      </c>
      <c r="AA123" s="394">
        <f t="shared" si="67"/>
        <v>0</v>
      </c>
      <c r="AB123" s="394">
        <f t="shared" si="67"/>
        <v>0</v>
      </c>
      <c r="AC123" s="394">
        <f t="shared" si="67"/>
        <v>0</v>
      </c>
      <c r="AD123" s="394">
        <f t="shared" si="67"/>
        <v>0</v>
      </c>
      <c r="AE123" s="394">
        <f t="shared" si="67"/>
        <v>0</v>
      </c>
      <c r="AF123" s="394">
        <f t="shared" si="67"/>
        <v>0</v>
      </c>
      <c r="AG123" s="394">
        <f t="shared" si="67"/>
        <v>0</v>
      </c>
      <c r="AH123" s="394">
        <f t="shared" ref="AH123:AK123" si="68">AH124</f>
        <v>0</v>
      </c>
      <c r="AI123" s="394">
        <f t="shared" si="68"/>
        <v>0</v>
      </c>
      <c r="AJ123" s="394">
        <f t="shared" si="68"/>
        <v>0</v>
      </c>
      <c r="AK123" s="394">
        <f t="shared" si="68"/>
        <v>0</v>
      </c>
      <c r="AL123" s="393"/>
      <c r="AM123" s="400">
        <f t="shared" si="49"/>
        <v>0</v>
      </c>
      <c r="AO123" s="397"/>
      <c r="AP123" s="397"/>
      <c r="AQ123" s="397"/>
      <c r="AR123" s="397"/>
      <c r="AS123" s="397"/>
      <c r="AT123" s="397"/>
      <c r="AU123" s="397"/>
      <c r="AV123" s="397"/>
      <c r="AW123" s="397"/>
    </row>
    <row r="124" spans="1:49" s="390" customFormat="1" ht="73.5" customHeight="1">
      <c r="A124" s="416" t="s">
        <v>120</v>
      </c>
      <c r="B124" s="417" t="s">
        <v>1195</v>
      </c>
      <c r="C124" s="388"/>
      <c r="D124" s="261"/>
      <c r="E124" s="261"/>
      <c r="F124" s="388" t="s">
        <v>975</v>
      </c>
      <c r="G124" s="261"/>
      <c r="H124" s="394"/>
      <c r="I124" s="394"/>
      <c r="J124" s="394"/>
      <c r="K124" s="394"/>
      <c r="L124" s="394"/>
      <c r="M124" s="394"/>
      <c r="N124" s="394"/>
      <c r="O124" s="394"/>
      <c r="P124" s="394"/>
      <c r="Q124" s="394"/>
      <c r="R124" s="394"/>
      <c r="S124" s="394"/>
      <c r="T124" s="394"/>
      <c r="U124" s="394"/>
      <c r="V124" s="394"/>
      <c r="W124" s="394"/>
      <c r="X124" s="394"/>
      <c r="Y124" s="394"/>
      <c r="Z124" s="394"/>
      <c r="AA124" s="394"/>
      <c r="AB124" s="394"/>
      <c r="AC124" s="394"/>
      <c r="AD124" s="394"/>
      <c r="AE124" s="394"/>
      <c r="AF124" s="339">
        <f t="shared" si="41"/>
        <v>0</v>
      </c>
      <c r="AG124" s="339">
        <f t="shared" si="42"/>
        <v>0</v>
      </c>
      <c r="AH124" s="394"/>
      <c r="AI124" s="394"/>
      <c r="AJ124" s="394"/>
      <c r="AK124" s="394"/>
      <c r="AL124" s="388"/>
      <c r="AM124" s="400">
        <f t="shared" si="49"/>
        <v>0</v>
      </c>
      <c r="AO124" s="391"/>
      <c r="AP124" s="391"/>
      <c r="AQ124" s="391"/>
      <c r="AR124" s="391"/>
      <c r="AS124" s="391"/>
      <c r="AT124" s="391"/>
      <c r="AU124" s="391"/>
      <c r="AV124" s="391"/>
      <c r="AW124" s="391"/>
    </row>
    <row r="125" spans="1:49" s="396" customFormat="1" ht="52.5" customHeight="1">
      <c r="A125" s="269" t="s">
        <v>495</v>
      </c>
      <c r="B125" s="270" t="s">
        <v>496</v>
      </c>
      <c r="C125" s="393"/>
      <c r="D125" s="261"/>
      <c r="E125" s="261"/>
      <c r="F125" s="393" t="s">
        <v>975</v>
      </c>
      <c r="G125" s="261"/>
      <c r="H125" s="394">
        <f>H126</f>
        <v>1600</v>
      </c>
      <c r="I125" s="394">
        <f t="shared" ref="I125:AG126" si="69">I126</f>
        <v>1600</v>
      </c>
      <c r="J125" s="394">
        <f t="shared" si="69"/>
        <v>0</v>
      </c>
      <c r="K125" s="394">
        <f t="shared" si="69"/>
        <v>0</v>
      </c>
      <c r="L125" s="394">
        <f t="shared" si="69"/>
        <v>0</v>
      </c>
      <c r="M125" s="394">
        <f t="shared" si="69"/>
        <v>0</v>
      </c>
      <c r="N125" s="394">
        <f t="shared" si="69"/>
        <v>0</v>
      </c>
      <c r="O125" s="394">
        <f t="shared" si="69"/>
        <v>0</v>
      </c>
      <c r="P125" s="394">
        <f t="shared" si="69"/>
        <v>0</v>
      </c>
      <c r="Q125" s="394">
        <f t="shared" si="69"/>
        <v>0</v>
      </c>
      <c r="R125" s="394">
        <f t="shared" si="69"/>
        <v>0</v>
      </c>
      <c r="S125" s="394">
        <f t="shared" si="69"/>
        <v>0</v>
      </c>
      <c r="T125" s="394">
        <f t="shared" si="69"/>
        <v>1669</v>
      </c>
      <c r="U125" s="394">
        <f t="shared" si="69"/>
        <v>0</v>
      </c>
      <c r="V125" s="394">
        <f t="shared" si="69"/>
        <v>0</v>
      </c>
      <c r="W125" s="394">
        <f t="shared" si="69"/>
        <v>0</v>
      </c>
      <c r="X125" s="394">
        <f t="shared" si="69"/>
        <v>1595</v>
      </c>
      <c r="Y125" s="394">
        <f t="shared" si="69"/>
        <v>0</v>
      </c>
      <c r="Z125" s="394">
        <f t="shared" si="69"/>
        <v>0</v>
      </c>
      <c r="AA125" s="394">
        <f t="shared" si="69"/>
        <v>0</v>
      </c>
      <c r="AB125" s="394">
        <f t="shared" si="69"/>
        <v>0</v>
      </c>
      <c r="AC125" s="394">
        <f t="shared" si="69"/>
        <v>0</v>
      </c>
      <c r="AD125" s="394">
        <f t="shared" si="69"/>
        <v>0</v>
      </c>
      <c r="AE125" s="394">
        <f t="shared" si="69"/>
        <v>0</v>
      </c>
      <c r="AF125" s="394">
        <f t="shared" si="69"/>
        <v>74</v>
      </c>
      <c r="AG125" s="394">
        <f t="shared" si="69"/>
        <v>0</v>
      </c>
      <c r="AH125" s="394">
        <f t="shared" ref="AH125:AK126" si="70">AH126</f>
        <v>74</v>
      </c>
      <c r="AI125" s="394">
        <f t="shared" si="70"/>
        <v>0</v>
      </c>
      <c r="AJ125" s="394">
        <f t="shared" si="70"/>
        <v>0</v>
      </c>
      <c r="AK125" s="394">
        <f t="shared" si="70"/>
        <v>0</v>
      </c>
      <c r="AL125" s="393"/>
      <c r="AM125" s="400">
        <f t="shared" si="49"/>
        <v>74</v>
      </c>
      <c r="AO125" s="397"/>
      <c r="AP125" s="397"/>
      <c r="AQ125" s="397"/>
      <c r="AR125" s="397"/>
      <c r="AS125" s="397"/>
      <c r="AT125" s="397"/>
      <c r="AU125" s="397"/>
      <c r="AV125" s="397"/>
      <c r="AW125" s="397"/>
    </row>
    <row r="126" spans="1:49" s="390" customFormat="1" ht="75" customHeight="1">
      <c r="A126" s="416" t="s">
        <v>120</v>
      </c>
      <c r="B126" s="417" t="s">
        <v>1195</v>
      </c>
      <c r="C126" s="388"/>
      <c r="D126" s="261"/>
      <c r="E126" s="261"/>
      <c r="F126" s="388" t="s">
        <v>975</v>
      </c>
      <c r="G126" s="261"/>
      <c r="H126" s="394">
        <f>H127</f>
        <v>1600</v>
      </c>
      <c r="I126" s="394">
        <f t="shared" si="69"/>
        <v>1600</v>
      </c>
      <c r="J126" s="394">
        <f t="shared" si="69"/>
        <v>0</v>
      </c>
      <c r="K126" s="394">
        <f t="shared" si="69"/>
        <v>0</v>
      </c>
      <c r="L126" s="394">
        <f t="shared" si="69"/>
        <v>0</v>
      </c>
      <c r="M126" s="394">
        <f t="shared" si="69"/>
        <v>0</v>
      </c>
      <c r="N126" s="394">
        <f t="shared" si="69"/>
        <v>0</v>
      </c>
      <c r="O126" s="394">
        <f t="shared" si="69"/>
        <v>0</v>
      </c>
      <c r="P126" s="394">
        <f t="shared" si="69"/>
        <v>0</v>
      </c>
      <c r="Q126" s="394">
        <f t="shared" si="69"/>
        <v>0</v>
      </c>
      <c r="R126" s="394">
        <f t="shared" si="69"/>
        <v>0</v>
      </c>
      <c r="S126" s="394">
        <f t="shared" si="69"/>
        <v>0</v>
      </c>
      <c r="T126" s="394">
        <f t="shared" si="69"/>
        <v>1669</v>
      </c>
      <c r="U126" s="394">
        <f t="shared" si="69"/>
        <v>0</v>
      </c>
      <c r="V126" s="394">
        <f t="shared" si="69"/>
        <v>0</v>
      </c>
      <c r="W126" s="394">
        <f t="shared" si="69"/>
        <v>0</v>
      </c>
      <c r="X126" s="394">
        <f t="shared" si="69"/>
        <v>1595</v>
      </c>
      <c r="Y126" s="394">
        <f t="shared" si="69"/>
        <v>0</v>
      </c>
      <c r="Z126" s="394">
        <f t="shared" si="69"/>
        <v>0</v>
      </c>
      <c r="AA126" s="394">
        <f t="shared" si="69"/>
        <v>0</v>
      </c>
      <c r="AB126" s="394">
        <f t="shared" si="69"/>
        <v>0</v>
      </c>
      <c r="AC126" s="394">
        <f t="shared" si="69"/>
        <v>0</v>
      </c>
      <c r="AD126" s="394">
        <f t="shared" si="69"/>
        <v>0</v>
      </c>
      <c r="AE126" s="394">
        <f t="shared" si="69"/>
        <v>0</v>
      </c>
      <c r="AF126" s="394">
        <f t="shared" si="69"/>
        <v>74</v>
      </c>
      <c r="AG126" s="394">
        <f t="shared" si="69"/>
        <v>0</v>
      </c>
      <c r="AH126" s="394">
        <f t="shared" si="70"/>
        <v>74</v>
      </c>
      <c r="AI126" s="394">
        <f t="shared" si="70"/>
        <v>0</v>
      </c>
      <c r="AJ126" s="394">
        <f t="shared" si="70"/>
        <v>0</v>
      </c>
      <c r="AK126" s="394">
        <f t="shared" si="70"/>
        <v>0</v>
      </c>
      <c r="AL126" s="388"/>
      <c r="AM126" s="400">
        <f t="shared" si="49"/>
        <v>74</v>
      </c>
      <c r="AO126" s="391"/>
      <c r="AP126" s="391"/>
      <c r="AQ126" s="391"/>
      <c r="AR126" s="391"/>
      <c r="AS126" s="391"/>
      <c r="AT126" s="391"/>
      <c r="AU126" s="391"/>
      <c r="AV126" s="391"/>
      <c r="AW126" s="391"/>
    </row>
    <row r="127" spans="1:49" s="390" customFormat="1" ht="51" customHeight="1">
      <c r="A127" s="402" t="s">
        <v>144</v>
      </c>
      <c r="B127" s="399" t="s">
        <v>497</v>
      </c>
      <c r="C127" s="388"/>
      <c r="D127" s="260"/>
      <c r="E127" s="260"/>
      <c r="F127" s="388"/>
      <c r="G127" s="260" t="s">
        <v>725</v>
      </c>
      <c r="H127" s="339">
        <v>1600</v>
      </c>
      <c r="I127" s="339">
        <v>1600</v>
      </c>
      <c r="J127" s="339"/>
      <c r="K127" s="339"/>
      <c r="L127" s="339"/>
      <c r="M127" s="339"/>
      <c r="N127" s="339"/>
      <c r="O127" s="339"/>
      <c r="P127" s="339"/>
      <c r="Q127" s="339"/>
      <c r="R127" s="339"/>
      <c r="S127" s="339"/>
      <c r="T127" s="339">
        <v>1669</v>
      </c>
      <c r="U127" s="339"/>
      <c r="V127" s="339"/>
      <c r="W127" s="339"/>
      <c r="X127" s="339">
        <v>1595</v>
      </c>
      <c r="Y127" s="339"/>
      <c r="Z127" s="339"/>
      <c r="AA127" s="339"/>
      <c r="AB127" s="339"/>
      <c r="AC127" s="339"/>
      <c r="AD127" s="339"/>
      <c r="AE127" s="339"/>
      <c r="AF127" s="339">
        <f t="shared" ref="AF127" si="71">IF(AH127&gt;AB127,AH127-AB127,0)</f>
        <v>74</v>
      </c>
      <c r="AG127" s="339">
        <f t="shared" ref="AG127" si="72">IF(AB127&gt;AH127,AB127-AH127,0)</f>
        <v>0</v>
      </c>
      <c r="AH127" s="339">
        <v>74</v>
      </c>
      <c r="AI127" s="339"/>
      <c r="AJ127" s="339"/>
      <c r="AK127" s="339"/>
      <c r="AL127" s="401" t="s">
        <v>1091</v>
      </c>
      <c r="AM127" s="400"/>
      <c r="AO127" s="391"/>
      <c r="AP127" s="391"/>
      <c r="AQ127" s="391"/>
      <c r="AR127" s="391"/>
      <c r="AS127" s="391"/>
      <c r="AT127" s="391"/>
      <c r="AU127" s="391"/>
      <c r="AV127" s="391"/>
      <c r="AW127" s="391"/>
    </row>
    <row r="128" spans="1:49" s="396" customFormat="1" ht="27" customHeight="1">
      <c r="A128" s="269" t="s">
        <v>499</v>
      </c>
      <c r="B128" s="270" t="s">
        <v>500</v>
      </c>
      <c r="C128" s="393"/>
      <c r="D128" s="261"/>
      <c r="E128" s="261"/>
      <c r="F128" s="393" t="s">
        <v>975</v>
      </c>
      <c r="G128" s="261"/>
      <c r="H128" s="394">
        <f>H129</f>
        <v>30000</v>
      </c>
      <c r="I128" s="394">
        <f t="shared" ref="I128:AG128" si="73">I129</f>
        <v>15000</v>
      </c>
      <c r="J128" s="394">
        <f t="shared" si="73"/>
        <v>5000</v>
      </c>
      <c r="K128" s="394">
        <f t="shared" si="73"/>
        <v>5000</v>
      </c>
      <c r="L128" s="394">
        <f t="shared" si="73"/>
        <v>2823.0494130000002</v>
      </c>
      <c r="M128" s="394">
        <f t="shared" si="73"/>
        <v>2823.0494130000002</v>
      </c>
      <c r="N128" s="394">
        <f t="shared" si="73"/>
        <v>5000</v>
      </c>
      <c r="O128" s="394">
        <f t="shared" si="73"/>
        <v>5000</v>
      </c>
      <c r="P128" s="394">
        <f t="shared" si="73"/>
        <v>5000</v>
      </c>
      <c r="Q128" s="394">
        <f t="shared" si="73"/>
        <v>5000</v>
      </c>
      <c r="R128" s="394">
        <f t="shared" si="73"/>
        <v>7000</v>
      </c>
      <c r="S128" s="394">
        <f t="shared" si="73"/>
        <v>7000</v>
      </c>
      <c r="T128" s="394">
        <f t="shared" si="73"/>
        <v>15000</v>
      </c>
      <c r="U128" s="394">
        <f t="shared" si="73"/>
        <v>0</v>
      </c>
      <c r="V128" s="394">
        <f t="shared" si="73"/>
        <v>0</v>
      </c>
      <c r="W128" s="394">
        <f t="shared" si="73"/>
        <v>0</v>
      </c>
      <c r="X128" s="394">
        <f t="shared" si="73"/>
        <v>7000</v>
      </c>
      <c r="Y128" s="394">
        <f t="shared" si="73"/>
        <v>0</v>
      </c>
      <c r="Z128" s="394">
        <f t="shared" si="73"/>
        <v>0</v>
      </c>
      <c r="AA128" s="394">
        <f t="shared" si="73"/>
        <v>0</v>
      </c>
      <c r="AB128" s="394">
        <f t="shared" si="73"/>
        <v>8000</v>
      </c>
      <c r="AC128" s="394">
        <f t="shared" si="73"/>
        <v>0</v>
      </c>
      <c r="AD128" s="394">
        <f t="shared" si="73"/>
        <v>0</v>
      </c>
      <c r="AE128" s="394">
        <f t="shared" si="73"/>
        <v>0</v>
      </c>
      <c r="AF128" s="394">
        <f t="shared" si="73"/>
        <v>0</v>
      </c>
      <c r="AG128" s="394">
        <f t="shared" si="73"/>
        <v>0</v>
      </c>
      <c r="AH128" s="394">
        <f t="shared" ref="AH128:AK128" si="74">AH129</f>
        <v>8000</v>
      </c>
      <c r="AI128" s="394">
        <f t="shared" si="74"/>
        <v>0</v>
      </c>
      <c r="AJ128" s="394">
        <f t="shared" si="74"/>
        <v>0</v>
      </c>
      <c r="AK128" s="394">
        <f t="shared" si="74"/>
        <v>0</v>
      </c>
      <c r="AL128" s="393"/>
      <c r="AM128" s="400">
        <f t="shared" si="49"/>
        <v>0</v>
      </c>
      <c r="AO128" s="397"/>
      <c r="AP128" s="397"/>
      <c r="AQ128" s="397"/>
      <c r="AR128" s="397"/>
      <c r="AS128" s="397"/>
      <c r="AT128" s="397"/>
      <c r="AU128" s="397"/>
      <c r="AV128" s="397"/>
      <c r="AW128" s="397"/>
    </row>
    <row r="129" spans="1:49" s="414" customFormat="1" ht="34.5">
      <c r="A129" s="404" t="s">
        <v>120</v>
      </c>
      <c r="B129" s="405" t="s">
        <v>1183</v>
      </c>
      <c r="C129" s="412"/>
      <c r="D129" s="282"/>
      <c r="E129" s="282"/>
      <c r="F129" s="412" t="s">
        <v>975</v>
      </c>
      <c r="G129" s="282"/>
      <c r="H129" s="407">
        <f t="shared" ref="H129:AG129" si="75">SUM(H130:H130)</f>
        <v>30000</v>
      </c>
      <c r="I129" s="407">
        <f t="shared" si="75"/>
        <v>15000</v>
      </c>
      <c r="J129" s="407">
        <f t="shared" si="75"/>
        <v>5000</v>
      </c>
      <c r="K129" s="407">
        <f t="shared" si="75"/>
        <v>5000</v>
      </c>
      <c r="L129" s="407">
        <f t="shared" si="75"/>
        <v>2823.0494130000002</v>
      </c>
      <c r="M129" s="407">
        <f t="shared" si="75"/>
        <v>2823.0494130000002</v>
      </c>
      <c r="N129" s="407">
        <f t="shared" si="75"/>
        <v>5000</v>
      </c>
      <c r="O129" s="407">
        <f t="shared" si="75"/>
        <v>5000</v>
      </c>
      <c r="P129" s="407">
        <f t="shared" si="75"/>
        <v>5000</v>
      </c>
      <c r="Q129" s="407">
        <f t="shared" si="75"/>
        <v>5000</v>
      </c>
      <c r="R129" s="407">
        <f t="shared" si="75"/>
        <v>7000</v>
      </c>
      <c r="S129" s="407">
        <f t="shared" si="75"/>
        <v>7000</v>
      </c>
      <c r="T129" s="407">
        <f t="shared" si="75"/>
        <v>15000</v>
      </c>
      <c r="U129" s="407">
        <f t="shared" si="75"/>
        <v>0</v>
      </c>
      <c r="V129" s="407">
        <f t="shared" si="75"/>
        <v>0</v>
      </c>
      <c r="W129" s="407">
        <f t="shared" si="75"/>
        <v>0</v>
      </c>
      <c r="X129" s="407">
        <f t="shared" si="75"/>
        <v>7000</v>
      </c>
      <c r="Y129" s="407">
        <f t="shared" si="75"/>
        <v>0</v>
      </c>
      <c r="Z129" s="407">
        <f t="shared" si="75"/>
        <v>0</v>
      </c>
      <c r="AA129" s="407">
        <f t="shared" si="75"/>
        <v>0</v>
      </c>
      <c r="AB129" s="407">
        <f t="shared" si="75"/>
        <v>8000</v>
      </c>
      <c r="AC129" s="407">
        <f t="shared" si="75"/>
        <v>0</v>
      </c>
      <c r="AD129" s="407">
        <f t="shared" si="75"/>
        <v>0</v>
      </c>
      <c r="AE129" s="407">
        <f t="shared" si="75"/>
        <v>0</v>
      </c>
      <c r="AF129" s="407">
        <f t="shared" si="75"/>
        <v>0</v>
      </c>
      <c r="AG129" s="407">
        <f t="shared" si="75"/>
        <v>0</v>
      </c>
      <c r="AH129" s="407">
        <f t="shared" ref="AH129:AK129" si="76">SUM(AH130:AH130)</f>
        <v>8000</v>
      </c>
      <c r="AI129" s="407">
        <f t="shared" si="76"/>
        <v>0</v>
      </c>
      <c r="AJ129" s="407">
        <f t="shared" si="76"/>
        <v>0</v>
      </c>
      <c r="AK129" s="407">
        <f t="shared" si="76"/>
        <v>0</v>
      </c>
      <c r="AL129" s="412"/>
      <c r="AM129" s="400">
        <f t="shared" si="49"/>
        <v>0</v>
      </c>
      <c r="AO129" s="415"/>
      <c r="AP129" s="415"/>
      <c r="AQ129" s="415"/>
      <c r="AR129" s="415"/>
      <c r="AS129" s="415"/>
      <c r="AT129" s="415"/>
      <c r="AU129" s="415"/>
      <c r="AV129" s="415"/>
      <c r="AW129" s="415"/>
    </row>
    <row r="130" spans="1:49" s="390" customFormat="1" ht="35.25">
      <c r="A130" s="402">
        <v>1</v>
      </c>
      <c r="B130" s="399" t="s">
        <v>501</v>
      </c>
      <c r="C130" s="388" t="s">
        <v>39</v>
      </c>
      <c r="D130" s="260" t="s">
        <v>625</v>
      </c>
      <c r="E130" s="260" t="s">
        <v>727</v>
      </c>
      <c r="F130" s="388" t="s">
        <v>1165</v>
      </c>
      <c r="G130" s="260" t="s">
        <v>728</v>
      </c>
      <c r="H130" s="339">
        <v>30000</v>
      </c>
      <c r="I130" s="339">
        <v>15000</v>
      </c>
      <c r="J130" s="339">
        <v>5000</v>
      </c>
      <c r="K130" s="339">
        <v>5000</v>
      </c>
      <c r="L130" s="339">
        <v>2823.0494130000002</v>
      </c>
      <c r="M130" s="339">
        <v>2823.0494130000002</v>
      </c>
      <c r="N130" s="339">
        <v>5000</v>
      </c>
      <c r="O130" s="339">
        <v>5000</v>
      </c>
      <c r="P130" s="339">
        <v>5000</v>
      </c>
      <c r="Q130" s="339">
        <v>5000</v>
      </c>
      <c r="R130" s="339">
        <v>7000</v>
      </c>
      <c r="S130" s="339">
        <v>7000</v>
      </c>
      <c r="T130" s="339">
        <v>15000</v>
      </c>
      <c r="U130" s="339"/>
      <c r="V130" s="339"/>
      <c r="W130" s="339"/>
      <c r="X130" s="339">
        <v>7000</v>
      </c>
      <c r="Y130" s="339"/>
      <c r="Z130" s="339"/>
      <c r="AA130" s="339"/>
      <c r="AB130" s="339">
        <v>8000</v>
      </c>
      <c r="AC130" s="339"/>
      <c r="AD130" s="339"/>
      <c r="AE130" s="339"/>
      <c r="AF130" s="339">
        <f t="shared" si="41"/>
        <v>0</v>
      </c>
      <c r="AG130" s="339">
        <f t="shared" si="42"/>
        <v>0</v>
      </c>
      <c r="AH130" s="339">
        <v>8000</v>
      </c>
      <c r="AI130" s="339"/>
      <c r="AJ130" s="339"/>
      <c r="AK130" s="339"/>
      <c r="AL130" s="388"/>
      <c r="AM130" s="400">
        <f t="shared" si="49"/>
        <v>0</v>
      </c>
      <c r="AO130" s="391"/>
      <c r="AP130" s="391"/>
      <c r="AQ130" s="391">
        <v>1</v>
      </c>
      <c r="AR130" s="391"/>
      <c r="AS130" s="391"/>
      <c r="AT130" s="391"/>
      <c r="AU130" s="391"/>
      <c r="AV130" s="391">
        <v>1</v>
      </c>
      <c r="AW130" s="391" t="s">
        <v>1217</v>
      </c>
    </row>
    <row r="131" spans="1:49" s="396" customFormat="1" ht="52.5" customHeight="1">
      <c r="A131" s="269" t="s">
        <v>503</v>
      </c>
      <c r="B131" s="270" t="s">
        <v>504</v>
      </c>
      <c r="C131" s="393"/>
      <c r="D131" s="261"/>
      <c r="E131" s="261"/>
      <c r="F131" s="393" t="s">
        <v>975</v>
      </c>
      <c r="G131" s="261"/>
      <c r="H131" s="394"/>
      <c r="I131" s="394"/>
      <c r="J131" s="394"/>
      <c r="K131" s="394"/>
      <c r="L131" s="394"/>
      <c r="M131" s="394"/>
      <c r="N131" s="394"/>
      <c r="O131" s="394"/>
      <c r="P131" s="394"/>
      <c r="Q131" s="394"/>
      <c r="R131" s="394"/>
      <c r="S131" s="394"/>
      <c r="T131" s="394"/>
      <c r="U131" s="394"/>
      <c r="V131" s="394"/>
      <c r="W131" s="394"/>
      <c r="X131" s="394"/>
      <c r="Y131" s="394"/>
      <c r="Z131" s="394"/>
      <c r="AA131" s="394"/>
      <c r="AB131" s="394"/>
      <c r="AC131" s="394"/>
      <c r="AD131" s="394"/>
      <c r="AE131" s="394"/>
      <c r="AF131" s="339">
        <f t="shared" si="41"/>
        <v>0</v>
      </c>
      <c r="AG131" s="339">
        <f t="shared" si="42"/>
        <v>0</v>
      </c>
      <c r="AH131" s="394"/>
      <c r="AI131" s="394"/>
      <c r="AJ131" s="394"/>
      <c r="AK131" s="394"/>
      <c r="AL131" s="393"/>
      <c r="AM131" s="400">
        <f t="shared" si="49"/>
        <v>0</v>
      </c>
      <c r="AO131" s="397"/>
      <c r="AP131" s="397"/>
      <c r="AQ131" s="397"/>
      <c r="AR131" s="397"/>
      <c r="AS131" s="397"/>
      <c r="AT131" s="397"/>
      <c r="AU131" s="397"/>
      <c r="AV131" s="397"/>
      <c r="AW131" s="397"/>
    </row>
    <row r="132" spans="1:49" s="396" customFormat="1" ht="45.75" customHeight="1">
      <c r="A132" s="269" t="s">
        <v>507</v>
      </c>
      <c r="B132" s="270" t="s">
        <v>508</v>
      </c>
      <c r="C132" s="393"/>
      <c r="D132" s="261"/>
      <c r="E132" s="261"/>
      <c r="F132" s="393" t="s">
        <v>975</v>
      </c>
      <c r="G132" s="261"/>
      <c r="H132" s="394">
        <f t="shared" ref="H132:AE132" si="77">H133+H142+H143+H158+H159+H162+H165+H166+H167+H168+H171+H173+H182</f>
        <v>2348027.4</v>
      </c>
      <c r="I132" s="394">
        <f t="shared" si="77"/>
        <v>1130888.8999999999</v>
      </c>
      <c r="J132" s="394">
        <f t="shared" si="77"/>
        <v>131497</v>
      </c>
      <c r="K132" s="394">
        <f t="shared" si="77"/>
        <v>131497</v>
      </c>
      <c r="L132" s="394">
        <f t="shared" si="77"/>
        <v>69805.352054999996</v>
      </c>
      <c r="M132" s="394">
        <f t="shared" si="77"/>
        <v>69805.352054999996</v>
      </c>
      <c r="N132" s="394">
        <f t="shared" si="77"/>
        <v>81834.639312999992</v>
      </c>
      <c r="O132" s="394">
        <f t="shared" si="77"/>
        <v>81834.639312999992</v>
      </c>
      <c r="P132" s="394">
        <f t="shared" si="77"/>
        <v>131497</v>
      </c>
      <c r="Q132" s="394">
        <f t="shared" si="77"/>
        <v>131497</v>
      </c>
      <c r="R132" s="394">
        <f t="shared" si="77"/>
        <v>473045</v>
      </c>
      <c r="S132" s="394">
        <f t="shared" si="77"/>
        <v>300145</v>
      </c>
      <c r="T132" s="394">
        <f t="shared" si="77"/>
        <v>375560</v>
      </c>
      <c r="U132" s="394">
        <f t="shared" si="77"/>
        <v>0</v>
      </c>
      <c r="V132" s="394">
        <f t="shared" si="77"/>
        <v>0</v>
      </c>
      <c r="W132" s="394">
        <f t="shared" si="77"/>
        <v>0</v>
      </c>
      <c r="X132" s="394">
        <f t="shared" si="77"/>
        <v>251441</v>
      </c>
      <c r="Y132" s="394">
        <f t="shared" si="77"/>
        <v>0</v>
      </c>
      <c r="Z132" s="394">
        <f t="shared" si="77"/>
        <v>0</v>
      </c>
      <c r="AA132" s="394">
        <f t="shared" si="77"/>
        <v>0</v>
      </c>
      <c r="AB132" s="394">
        <f t="shared" si="77"/>
        <v>124610</v>
      </c>
      <c r="AC132" s="394">
        <f t="shared" si="77"/>
        <v>0</v>
      </c>
      <c r="AD132" s="394">
        <f t="shared" si="77"/>
        <v>0</v>
      </c>
      <c r="AE132" s="394">
        <f t="shared" si="77"/>
        <v>2400</v>
      </c>
      <c r="AF132" s="394">
        <f t="shared" ref="AF132:AG132" si="78">AF133+AF142+AF143+AF158+AF159+AF162+AF165+AF166+AF167+AF168+AF171+AF173+AF182</f>
        <v>542</v>
      </c>
      <c r="AG132" s="394">
        <f t="shared" si="78"/>
        <v>1033</v>
      </c>
      <c r="AH132" s="394">
        <f t="shared" ref="AH132:AK132" si="79">AH133+AH142+AH143+AH158+AH159+AH162+AH165+AH166+AH167+AH168+AH171+AH173+AH182</f>
        <v>124119</v>
      </c>
      <c r="AI132" s="394">
        <f t="shared" si="79"/>
        <v>0</v>
      </c>
      <c r="AJ132" s="394">
        <f t="shared" si="79"/>
        <v>0</v>
      </c>
      <c r="AK132" s="394">
        <f t="shared" si="79"/>
        <v>2400</v>
      </c>
      <c r="AL132" s="393"/>
      <c r="AM132" s="400">
        <f t="shared" si="49"/>
        <v>-491</v>
      </c>
      <c r="AO132" s="397"/>
      <c r="AP132" s="397"/>
      <c r="AQ132" s="397"/>
      <c r="AR132" s="397"/>
      <c r="AS132" s="397"/>
      <c r="AT132" s="397"/>
      <c r="AU132" s="397"/>
      <c r="AV132" s="397"/>
      <c r="AW132" s="397"/>
    </row>
    <row r="133" spans="1:49" s="396" customFormat="1" ht="45.75" customHeight="1">
      <c r="A133" s="269" t="s">
        <v>354</v>
      </c>
      <c r="B133" s="270" t="s">
        <v>155</v>
      </c>
      <c r="C133" s="393"/>
      <c r="D133" s="261"/>
      <c r="E133" s="261"/>
      <c r="F133" s="393" t="s">
        <v>975</v>
      </c>
      <c r="G133" s="261"/>
      <c r="H133" s="394">
        <f t="shared" ref="H133:AE133" si="80">H134+H136</f>
        <v>439816</v>
      </c>
      <c r="I133" s="394">
        <f t="shared" si="80"/>
        <v>266916</v>
      </c>
      <c r="J133" s="394">
        <f t="shared" si="80"/>
        <v>42497</v>
      </c>
      <c r="K133" s="394">
        <f t="shared" si="80"/>
        <v>42497</v>
      </c>
      <c r="L133" s="394">
        <f t="shared" si="80"/>
        <v>25111.754000000001</v>
      </c>
      <c r="M133" s="394">
        <f t="shared" si="80"/>
        <v>25111.754000000001</v>
      </c>
      <c r="N133" s="394">
        <f t="shared" si="80"/>
        <v>28914.244000000002</v>
      </c>
      <c r="O133" s="394">
        <f t="shared" si="80"/>
        <v>28914.244000000002</v>
      </c>
      <c r="P133" s="394">
        <f t="shared" si="80"/>
        <v>42497</v>
      </c>
      <c r="Q133" s="394">
        <f t="shared" si="80"/>
        <v>42497</v>
      </c>
      <c r="R133" s="394">
        <f t="shared" si="80"/>
        <v>338450</v>
      </c>
      <c r="S133" s="394">
        <f t="shared" si="80"/>
        <v>165550</v>
      </c>
      <c r="T133" s="394">
        <f t="shared" si="80"/>
        <v>172174</v>
      </c>
      <c r="U133" s="394">
        <f t="shared" si="80"/>
        <v>0</v>
      </c>
      <c r="V133" s="394">
        <f t="shared" si="80"/>
        <v>0</v>
      </c>
      <c r="W133" s="394">
        <f t="shared" si="80"/>
        <v>0</v>
      </c>
      <c r="X133" s="394">
        <f t="shared" si="80"/>
        <v>96160</v>
      </c>
      <c r="Y133" s="394">
        <f t="shared" si="80"/>
        <v>0</v>
      </c>
      <c r="Z133" s="394">
        <f t="shared" si="80"/>
        <v>0</v>
      </c>
      <c r="AA133" s="394">
        <f t="shared" si="80"/>
        <v>0</v>
      </c>
      <c r="AB133" s="394">
        <f t="shared" si="80"/>
        <v>76014</v>
      </c>
      <c r="AC133" s="394">
        <f t="shared" si="80"/>
        <v>0</v>
      </c>
      <c r="AD133" s="394">
        <f t="shared" si="80"/>
        <v>0</v>
      </c>
      <c r="AE133" s="394">
        <f t="shared" si="80"/>
        <v>0</v>
      </c>
      <c r="AF133" s="394">
        <f t="shared" ref="AF133:AG133" si="81">AF134+AF136</f>
        <v>0</v>
      </c>
      <c r="AG133" s="394">
        <f t="shared" si="81"/>
        <v>0</v>
      </c>
      <c r="AH133" s="394">
        <f t="shared" ref="AH133:AK133" si="82">AH134+AH136</f>
        <v>76014</v>
      </c>
      <c r="AI133" s="394">
        <f t="shared" si="82"/>
        <v>0</v>
      </c>
      <c r="AJ133" s="394">
        <f t="shared" si="82"/>
        <v>0</v>
      </c>
      <c r="AK133" s="394">
        <f t="shared" si="82"/>
        <v>0</v>
      </c>
      <c r="AL133" s="393"/>
      <c r="AM133" s="400">
        <f t="shared" si="49"/>
        <v>0</v>
      </c>
      <c r="AO133" s="397"/>
      <c r="AP133" s="397"/>
      <c r="AQ133" s="397"/>
      <c r="AR133" s="397"/>
      <c r="AS133" s="397"/>
      <c r="AT133" s="397"/>
      <c r="AU133" s="397"/>
      <c r="AV133" s="397"/>
      <c r="AW133" s="397"/>
    </row>
    <row r="134" spans="1:49" s="414" customFormat="1" ht="72" customHeight="1">
      <c r="A134" s="416" t="s">
        <v>120</v>
      </c>
      <c r="B134" s="417" t="s">
        <v>1195</v>
      </c>
      <c r="C134" s="412"/>
      <c r="D134" s="282"/>
      <c r="E134" s="282"/>
      <c r="F134" s="412" t="s">
        <v>975</v>
      </c>
      <c r="G134" s="282"/>
      <c r="H134" s="407">
        <f t="shared" ref="H134:AG134" si="83">SUM(H135:H135)</f>
        <v>60000</v>
      </c>
      <c r="I134" s="407">
        <f t="shared" si="83"/>
        <v>60000</v>
      </c>
      <c r="J134" s="407">
        <f t="shared" si="83"/>
        <v>997</v>
      </c>
      <c r="K134" s="407">
        <f t="shared" si="83"/>
        <v>997</v>
      </c>
      <c r="L134" s="407">
        <f t="shared" si="83"/>
        <v>997</v>
      </c>
      <c r="M134" s="407">
        <f t="shared" si="83"/>
        <v>997</v>
      </c>
      <c r="N134" s="407">
        <f t="shared" si="83"/>
        <v>997</v>
      </c>
      <c r="O134" s="407">
        <f t="shared" si="83"/>
        <v>997</v>
      </c>
      <c r="P134" s="407">
        <f t="shared" si="83"/>
        <v>997</v>
      </c>
      <c r="Q134" s="407">
        <f t="shared" si="83"/>
        <v>997</v>
      </c>
      <c r="R134" s="407">
        <f t="shared" si="83"/>
        <v>55000</v>
      </c>
      <c r="S134" s="407">
        <f t="shared" si="83"/>
        <v>55000</v>
      </c>
      <c r="T134" s="407">
        <f t="shared" si="83"/>
        <v>49974</v>
      </c>
      <c r="U134" s="407">
        <f t="shared" si="83"/>
        <v>0</v>
      </c>
      <c r="V134" s="407">
        <f t="shared" si="83"/>
        <v>0</v>
      </c>
      <c r="W134" s="407">
        <f t="shared" si="83"/>
        <v>0</v>
      </c>
      <c r="X134" s="407">
        <f t="shared" si="83"/>
        <v>48210</v>
      </c>
      <c r="Y134" s="407">
        <f t="shared" si="83"/>
        <v>0</v>
      </c>
      <c r="Z134" s="407">
        <f t="shared" si="83"/>
        <v>0</v>
      </c>
      <c r="AA134" s="407">
        <f t="shared" si="83"/>
        <v>0</v>
      </c>
      <c r="AB134" s="407">
        <f t="shared" si="83"/>
        <v>1764</v>
      </c>
      <c r="AC134" s="407">
        <f t="shared" si="83"/>
        <v>0</v>
      </c>
      <c r="AD134" s="407">
        <f t="shared" si="83"/>
        <v>0</v>
      </c>
      <c r="AE134" s="407">
        <f t="shared" si="83"/>
        <v>0</v>
      </c>
      <c r="AF134" s="407">
        <f t="shared" si="83"/>
        <v>0</v>
      </c>
      <c r="AG134" s="407">
        <f t="shared" si="83"/>
        <v>0</v>
      </c>
      <c r="AH134" s="407">
        <f t="shared" ref="AH134:AK134" si="84">SUM(AH135:AH135)</f>
        <v>1764</v>
      </c>
      <c r="AI134" s="407">
        <f t="shared" si="84"/>
        <v>0</v>
      </c>
      <c r="AJ134" s="407">
        <f t="shared" si="84"/>
        <v>0</v>
      </c>
      <c r="AK134" s="407">
        <f t="shared" si="84"/>
        <v>0</v>
      </c>
      <c r="AL134" s="412"/>
      <c r="AM134" s="400">
        <f t="shared" si="49"/>
        <v>0</v>
      </c>
      <c r="AO134" s="415"/>
      <c r="AP134" s="415"/>
      <c r="AQ134" s="415"/>
      <c r="AR134" s="415"/>
      <c r="AS134" s="415"/>
      <c r="AT134" s="415"/>
      <c r="AU134" s="415"/>
      <c r="AV134" s="415"/>
      <c r="AW134" s="415"/>
    </row>
    <row r="135" spans="1:49" s="390" customFormat="1" ht="75.75" customHeight="1">
      <c r="A135" s="402">
        <v>1</v>
      </c>
      <c r="B135" s="399" t="s">
        <v>509</v>
      </c>
      <c r="C135" s="388" t="s">
        <v>38</v>
      </c>
      <c r="D135" s="260" t="s">
        <v>230</v>
      </c>
      <c r="E135" s="260"/>
      <c r="F135" s="388" t="s">
        <v>1218</v>
      </c>
      <c r="G135" s="260" t="s">
        <v>729</v>
      </c>
      <c r="H135" s="339">
        <v>60000</v>
      </c>
      <c r="I135" s="339">
        <v>60000</v>
      </c>
      <c r="J135" s="339">
        <v>997</v>
      </c>
      <c r="K135" s="339">
        <v>997</v>
      </c>
      <c r="L135" s="339">
        <v>997</v>
      </c>
      <c r="M135" s="339">
        <v>997</v>
      </c>
      <c r="N135" s="339">
        <v>997</v>
      </c>
      <c r="O135" s="339">
        <v>997</v>
      </c>
      <c r="P135" s="339">
        <v>997</v>
      </c>
      <c r="Q135" s="339">
        <v>997</v>
      </c>
      <c r="R135" s="339">
        <v>55000</v>
      </c>
      <c r="S135" s="339">
        <v>55000</v>
      </c>
      <c r="T135" s="339">
        <v>49974</v>
      </c>
      <c r="U135" s="339"/>
      <c r="V135" s="339"/>
      <c r="W135" s="339"/>
      <c r="X135" s="339">
        <v>48210</v>
      </c>
      <c r="Y135" s="339"/>
      <c r="Z135" s="339"/>
      <c r="AA135" s="339"/>
      <c r="AB135" s="339">
        <v>1764</v>
      </c>
      <c r="AC135" s="339"/>
      <c r="AD135" s="339"/>
      <c r="AE135" s="339"/>
      <c r="AF135" s="339">
        <f t="shared" ref="AF135:AF196" si="85">IF(AH135&gt;AB135,AH135-AB135,0)</f>
        <v>0</v>
      </c>
      <c r="AG135" s="339">
        <f t="shared" ref="AG135:AG196" si="86">IF(AB135&gt;AH135,AB135-AH135,0)</f>
        <v>0</v>
      </c>
      <c r="AH135" s="339">
        <v>1764</v>
      </c>
      <c r="AI135" s="339"/>
      <c r="AJ135" s="339"/>
      <c r="AK135" s="339"/>
      <c r="AL135" s="388"/>
      <c r="AM135" s="400">
        <f t="shared" si="49"/>
        <v>0</v>
      </c>
      <c r="AO135" s="391"/>
      <c r="AP135" s="391">
        <v>1</v>
      </c>
      <c r="AQ135" s="391"/>
      <c r="AR135" s="391"/>
      <c r="AS135" s="391"/>
      <c r="AT135" s="391"/>
      <c r="AU135" s="391"/>
      <c r="AV135" s="391">
        <v>1</v>
      </c>
      <c r="AW135" s="391" t="s">
        <v>1219</v>
      </c>
    </row>
    <row r="136" spans="1:49" s="414" customFormat="1" ht="34.5">
      <c r="A136" s="404" t="s">
        <v>122</v>
      </c>
      <c r="B136" s="405" t="s">
        <v>1183</v>
      </c>
      <c r="C136" s="412"/>
      <c r="D136" s="282"/>
      <c r="E136" s="282"/>
      <c r="F136" s="412" t="s">
        <v>975</v>
      </c>
      <c r="G136" s="282"/>
      <c r="H136" s="407">
        <f>SUM(H137:H141)</f>
        <v>379816</v>
      </c>
      <c r="I136" s="407">
        <f t="shared" ref="I136:AG136" si="87">SUM(I137:I141)</f>
        <v>206916</v>
      </c>
      <c r="J136" s="407">
        <f t="shared" si="87"/>
        <v>41500</v>
      </c>
      <c r="K136" s="407">
        <f t="shared" si="87"/>
        <v>41500</v>
      </c>
      <c r="L136" s="407">
        <f t="shared" si="87"/>
        <v>24114.754000000001</v>
      </c>
      <c r="M136" s="407">
        <f t="shared" si="87"/>
        <v>24114.754000000001</v>
      </c>
      <c r="N136" s="407">
        <f t="shared" si="87"/>
        <v>27917.244000000002</v>
      </c>
      <c r="O136" s="407">
        <f t="shared" si="87"/>
        <v>27917.244000000002</v>
      </c>
      <c r="P136" s="407">
        <f t="shared" si="87"/>
        <v>41500</v>
      </c>
      <c r="Q136" s="407">
        <f t="shared" si="87"/>
        <v>41500</v>
      </c>
      <c r="R136" s="407">
        <f t="shared" si="87"/>
        <v>283450</v>
      </c>
      <c r="S136" s="407">
        <f t="shared" si="87"/>
        <v>110550</v>
      </c>
      <c r="T136" s="407">
        <f t="shared" si="87"/>
        <v>122200</v>
      </c>
      <c r="U136" s="407">
        <f t="shared" si="87"/>
        <v>0</v>
      </c>
      <c r="V136" s="407">
        <f t="shared" si="87"/>
        <v>0</v>
      </c>
      <c r="W136" s="407">
        <f t="shared" si="87"/>
        <v>0</v>
      </c>
      <c r="X136" s="407">
        <f t="shared" si="87"/>
        <v>47950</v>
      </c>
      <c r="Y136" s="407">
        <f t="shared" si="87"/>
        <v>0</v>
      </c>
      <c r="Z136" s="407">
        <f t="shared" si="87"/>
        <v>0</v>
      </c>
      <c r="AA136" s="407">
        <f t="shared" si="87"/>
        <v>0</v>
      </c>
      <c r="AB136" s="407">
        <f t="shared" si="87"/>
        <v>74250</v>
      </c>
      <c r="AC136" s="407">
        <f t="shared" si="87"/>
        <v>0</v>
      </c>
      <c r="AD136" s="407">
        <f t="shared" si="87"/>
        <v>0</v>
      </c>
      <c r="AE136" s="407">
        <f t="shared" si="87"/>
        <v>0</v>
      </c>
      <c r="AF136" s="407">
        <f t="shared" si="87"/>
        <v>0</v>
      </c>
      <c r="AG136" s="407">
        <f t="shared" si="87"/>
        <v>0</v>
      </c>
      <c r="AH136" s="407">
        <f t="shared" ref="AH136:AK136" si="88">SUM(AH137:AH141)</f>
        <v>74250</v>
      </c>
      <c r="AI136" s="407">
        <f t="shared" si="88"/>
        <v>0</v>
      </c>
      <c r="AJ136" s="407">
        <f t="shared" si="88"/>
        <v>0</v>
      </c>
      <c r="AK136" s="407">
        <f t="shared" si="88"/>
        <v>0</v>
      </c>
      <c r="AL136" s="412"/>
      <c r="AM136" s="400">
        <f t="shared" si="49"/>
        <v>0</v>
      </c>
      <c r="AO136" s="415"/>
      <c r="AP136" s="415"/>
      <c r="AQ136" s="415"/>
      <c r="AR136" s="415"/>
      <c r="AS136" s="415"/>
      <c r="AT136" s="415"/>
      <c r="AU136" s="415"/>
      <c r="AV136" s="415"/>
      <c r="AW136" s="415"/>
    </row>
    <row r="137" spans="1:49" s="390" customFormat="1" ht="75" customHeight="1">
      <c r="A137" s="402">
        <v>1</v>
      </c>
      <c r="B137" s="399" t="s">
        <v>513</v>
      </c>
      <c r="C137" s="388" t="s">
        <v>39</v>
      </c>
      <c r="D137" s="260" t="s">
        <v>628</v>
      </c>
      <c r="E137" s="260" t="s">
        <v>733</v>
      </c>
      <c r="F137" s="388" t="s">
        <v>1165</v>
      </c>
      <c r="G137" s="260" t="s">
        <v>734</v>
      </c>
      <c r="H137" s="339">
        <v>30000</v>
      </c>
      <c r="I137" s="339">
        <v>30000</v>
      </c>
      <c r="J137" s="339">
        <v>10000</v>
      </c>
      <c r="K137" s="339">
        <v>10000</v>
      </c>
      <c r="L137" s="339">
        <v>6070.3649999999998</v>
      </c>
      <c r="M137" s="339">
        <v>6070.3649999999998</v>
      </c>
      <c r="N137" s="339">
        <v>6070.3649999999998</v>
      </c>
      <c r="O137" s="339">
        <v>6070.3649999999998</v>
      </c>
      <c r="P137" s="339">
        <v>10000</v>
      </c>
      <c r="Q137" s="339">
        <v>10000</v>
      </c>
      <c r="R137" s="339">
        <v>12200</v>
      </c>
      <c r="S137" s="339">
        <v>12200</v>
      </c>
      <c r="T137" s="339">
        <v>26800</v>
      </c>
      <c r="U137" s="339"/>
      <c r="V137" s="339"/>
      <c r="W137" s="339"/>
      <c r="X137" s="339">
        <v>12000</v>
      </c>
      <c r="Y137" s="339"/>
      <c r="Z137" s="339"/>
      <c r="AA137" s="339"/>
      <c r="AB137" s="339">
        <v>14800</v>
      </c>
      <c r="AC137" s="339"/>
      <c r="AD137" s="339"/>
      <c r="AE137" s="339"/>
      <c r="AF137" s="339">
        <f t="shared" si="85"/>
        <v>0</v>
      </c>
      <c r="AG137" s="339">
        <f t="shared" si="86"/>
        <v>0</v>
      </c>
      <c r="AH137" s="339">
        <v>14800</v>
      </c>
      <c r="AI137" s="339"/>
      <c r="AJ137" s="339"/>
      <c r="AK137" s="339"/>
      <c r="AL137" s="388"/>
      <c r="AM137" s="400">
        <f t="shared" si="49"/>
        <v>0</v>
      </c>
      <c r="AO137" s="391"/>
      <c r="AP137" s="391"/>
      <c r="AQ137" s="391">
        <v>1</v>
      </c>
      <c r="AR137" s="391"/>
      <c r="AS137" s="391"/>
      <c r="AT137" s="391"/>
      <c r="AU137" s="391"/>
      <c r="AV137" s="391">
        <v>1</v>
      </c>
      <c r="AW137" s="391" t="s">
        <v>1219</v>
      </c>
    </row>
    <row r="138" spans="1:49" s="390" customFormat="1" ht="75" customHeight="1">
      <c r="A138" s="402">
        <v>2</v>
      </c>
      <c r="B138" s="399" t="s">
        <v>514</v>
      </c>
      <c r="C138" s="388" t="s">
        <v>39</v>
      </c>
      <c r="D138" s="260" t="s">
        <v>632</v>
      </c>
      <c r="E138" s="260" t="s">
        <v>735</v>
      </c>
      <c r="F138" s="388" t="s">
        <v>1165</v>
      </c>
      <c r="G138" s="260" t="s">
        <v>736</v>
      </c>
      <c r="H138" s="339">
        <v>39800</v>
      </c>
      <c r="I138" s="339">
        <v>39800</v>
      </c>
      <c r="J138" s="339">
        <v>10000</v>
      </c>
      <c r="K138" s="339">
        <v>10000</v>
      </c>
      <c r="L138" s="339">
        <v>9856.0390000000007</v>
      </c>
      <c r="M138" s="339">
        <v>9856.0390000000007</v>
      </c>
      <c r="N138" s="339">
        <v>9856.0390000000007</v>
      </c>
      <c r="O138" s="339">
        <v>9856.0390000000007</v>
      </c>
      <c r="P138" s="339">
        <v>10000</v>
      </c>
      <c r="Q138" s="339">
        <v>10000</v>
      </c>
      <c r="R138" s="339">
        <v>12200</v>
      </c>
      <c r="S138" s="339">
        <v>12200</v>
      </c>
      <c r="T138" s="339">
        <v>35600</v>
      </c>
      <c r="U138" s="339"/>
      <c r="V138" s="339"/>
      <c r="W138" s="339"/>
      <c r="X138" s="339">
        <v>12000</v>
      </c>
      <c r="Y138" s="339"/>
      <c r="Z138" s="339"/>
      <c r="AA138" s="339"/>
      <c r="AB138" s="339">
        <v>23600</v>
      </c>
      <c r="AC138" s="339"/>
      <c r="AD138" s="339"/>
      <c r="AE138" s="339"/>
      <c r="AF138" s="339">
        <f t="shared" si="85"/>
        <v>0</v>
      </c>
      <c r="AG138" s="339">
        <f t="shared" si="86"/>
        <v>0</v>
      </c>
      <c r="AH138" s="339">
        <v>23600</v>
      </c>
      <c r="AI138" s="339"/>
      <c r="AJ138" s="339"/>
      <c r="AK138" s="339"/>
      <c r="AL138" s="388"/>
      <c r="AM138" s="400">
        <f t="shared" si="49"/>
        <v>0</v>
      </c>
      <c r="AO138" s="391"/>
      <c r="AP138" s="391"/>
      <c r="AQ138" s="391">
        <v>1</v>
      </c>
      <c r="AR138" s="391"/>
      <c r="AS138" s="391"/>
      <c r="AT138" s="391"/>
      <c r="AU138" s="391"/>
      <c r="AV138" s="391">
        <v>1</v>
      </c>
      <c r="AW138" s="391" t="s">
        <v>1219</v>
      </c>
    </row>
    <row r="139" spans="1:49" s="390" customFormat="1" ht="79.5" customHeight="1">
      <c r="A139" s="402">
        <v>3</v>
      </c>
      <c r="B139" s="399" t="s">
        <v>515</v>
      </c>
      <c r="C139" s="388" t="s">
        <v>39</v>
      </c>
      <c r="D139" s="260" t="s">
        <v>629</v>
      </c>
      <c r="E139" s="260" t="s">
        <v>737</v>
      </c>
      <c r="F139" s="388" t="s">
        <v>1165</v>
      </c>
      <c r="G139" s="260" t="s">
        <v>738</v>
      </c>
      <c r="H139" s="339">
        <v>30000</v>
      </c>
      <c r="I139" s="339">
        <v>30000</v>
      </c>
      <c r="J139" s="339">
        <v>10000</v>
      </c>
      <c r="K139" s="339">
        <v>10000</v>
      </c>
      <c r="L139" s="339">
        <v>2335.2020000000002</v>
      </c>
      <c r="M139" s="339">
        <v>2335.2020000000002</v>
      </c>
      <c r="N139" s="339">
        <v>6137.692</v>
      </c>
      <c r="O139" s="339">
        <v>6137.692</v>
      </c>
      <c r="P139" s="339">
        <v>10000</v>
      </c>
      <c r="Q139" s="339">
        <v>10000</v>
      </c>
      <c r="R139" s="339">
        <v>12200</v>
      </c>
      <c r="S139" s="339">
        <v>12200</v>
      </c>
      <c r="T139" s="339">
        <v>26800</v>
      </c>
      <c r="U139" s="339"/>
      <c r="V139" s="339"/>
      <c r="W139" s="339"/>
      <c r="X139" s="339">
        <v>12000</v>
      </c>
      <c r="Y139" s="339"/>
      <c r="Z139" s="339"/>
      <c r="AA139" s="339"/>
      <c r="AB139" s="339">
        <v>14800</v>
      </c>
      <c r="AC139" s="339"/>
      <c r="AD139" s="339"/>
      <c r="AE139" s="339"/>
      <c r="AF139" s="339">
        <f t="shared" si="85"/>
        <v>0</v>
      </c>
      <c r="AG139" s="339">
        <f t="shared" si="86"/>
        <v>0</v>
      </c>
      <c r="AH139" s="339">
        <v>14800</v>
      </c>
      <c r="AI139" s="339"/>
      <c r="AJ139" s="339"/>
      <c r="AK139" s="339"/>
      <c r="AL139" s="388"/>
      <c r="AM139" s="400">
        <f t="shared" si="49"/>
        <v>0</v>
      </c>
      <c r="AO139" s="391"/>
      <c r="AP139" s="391"/>
      <c r="AQ139" s="391">
        <v>1</v>
      </c>
      <c r="AR139" s="391"/>
      <c r="AS139" s="391"/>
      <c r="AT139" s="391"/>
      <c r="AU139" s="391"/>
      <c r="AV139" s="391">
        <v>1</v>
      </c>
      <c r="AW139" s="391" t="s">
        <v>1219</v>
      </c>
    </row>
    <row r="140" spans="1:49" s="390" customFormat="1" ht="74.25" customHeight="1">
      <c r="A140" s="402">
        <v>4</v>
      </c>
      <c r="B140" s="399" t="s">
        <v>516</v>
      </c>
      <c r="C140" s="388" t="s">
        <v>38</v>
      </c>
      <c r="D140" s="260" t="s">
        <v>625</v>
      </c>
      <c r="E140" s="260"/>
      <c r="F140" s="388" t="s">
        <v>1165</v>
      </c>
      <c r="G140" s="260" t="s">
        <v>739</v>
      </c>
      <c r="H140" s="339">
        <v>273016</v>
      </c>
      <c r="I140" s="339">
        <v>100116</v>
      </c>
      <c r="J140" s="339">
        <v>9500</v>
      </c>
      <c r="K140" s="339">
        <v>9500</v>
      </c>
      <c r="L140" s="339">
        <v>4353.1480000000001</v>
      </c>
      <c r="M140" s="339">
        <v>4353.1480000000001</v>
      </c>
      <c r="N140" s="339">
        <v>4353.1480000000001</v>
      </c>
      <c r="O140" s="339">
        <v>4353.1480000000001</v>
      </c>
      <c r="P140" s="339">
        <v>9500</v>
      </c>
      <c r="Q140" s="339">
        <v>9500</v>
      </c>
      <c r="R140" s="339">
        <v>244850</v>
      </c>
      <c r="S140" s="339">
        <v>71950</v>
      </c>
      <c r="T140" s="339">
        <v>26000</v>
      </c>
      <c r="U140" s="339"/>
      <c r="V140" s="339"/>
      <c r="W140" s="339"/>
      <c r="X140" s="339">
        <v>9950</v>
      </c>
      <c r="Y140" s="339"/>
      <c r="Z140" s="339"/>
      <c r="AA140" s="339"/>
      <c r="AB140" s="339">
        <v>16050</v>
      </c>
      <c r="AC140" s="339"/>
      <c r="AD140" s="339"/>
      <c r="AE140" s="339"/>
      <c r="AF140" s="339">
        <f t="shared" si="85"/>
        <v>0</v>
      </c>
      <c r="AG140" s="339">
        <f t="shared" si="86"/>
        <v>0</v>
      </c>
      <c r="AH140" s="339">
        <v>16050</v>
      </c>
      <c r="AI140" s="339"/>
      <c r="AJ140" s="339"/>
      <c r="AK140" s="339"/>
      <c r="AL140" s="388"/>
      <c r="AM140" s="400">
        <f t="shared" si="49"/>
        <v>0</v>
      </c>
      <c r="AO140" s="391"/>
      <c r="AP140" s="391"/>
      <c r="AQ140" s="391">
        <v>1</v>
      </c>
      <c r="AR140" s="391"/>
      <c r="AS140" s="391"/>
      <c r="AT140" s="391"/>
      <c r="AU140" s="391"/>
      <c r="AV140" s="391">
        <v>1</v>
      </c>
      <c r="AW140" s="391" t="s">
        <v>1219</v>
      </c>
    </row>
    <row r="141" spans="1:49" s="390" customFormat="1" ht="57.75" customHeight="1">
      <c r="A141" s="402">
        <v>5</v>
      </c>
      <c r="B141" s="399" t="s">
        <v>518</v>
      </c>
      <c r="C141" s="388" t="s">
        <v>39</v>
      </c>
      <c r="D141" s="260" t="s">
        <v>632</v>
      </c>
      <c r="E141" s="260"/>
      <c r="F141" s="388" t="s">
        <v>1209</v>
      </c>
      <c r="G141" s="260" t="s">
        <v>741</v>
      </c>
      <c r="H141" s="339">
        <v>7000</v>
      </c>
      <c r="I141" s="339">
        <v>7000</v>
      </c>
      <c r="J141" s="339">
        <v>2000</v>
      </c>
      <c r="K141" s="339">
        <v>2000</v>
      </c>
      <c r="L141" s="339">
        <v>1500</v>
      </c>
      <c r="M141" s="339">
        <v>1500</v>
      </c>
      <c r="N141" s="339">
        <v>1500</v>
      </c>
      <c r="O141" s="339">
        <v>1500</v>
      </c>
      <c r="P141" s="339">
        <v>2000</v>
      </c>
      <c r="Q141" s="339">
        <v>2000</v>
      </c>
      <c r="R141" s="339">
        <v>2000</v>
      </c>
      <c r="S141" s="339">
        <v>2000</v>
      </c>
      <c r="T141" s="339">
        <v>7000</v>
      </c>
      <c r="U141" s="339"/>
      <c r="V141" s="339"/>
      <c r="W141" s="339"/>
      <c r="X141" s="339">
        <v>2000</v>
      </c>
      <c r="Y141" s="339"/>
      <c r="Z141" s="339"/>
      <c r="AA141" s="339"/>
      <c r="AB141" s="339">
        <v>5000</v>
      </c>
      <c r="AC141" s="339"/>
      <c r="AD141" s="339"/>
      <c r="AE141" s="339"/>
      <c r="AF141" s="339">
        <f t="shared" si="85"/>
        <v>0</v>
      </c>
      <c r="AG141" s="339">
        <f t="shared" si="86"/>
        <v>0</v>
      </c>
      <c r="AH141" s="339">
        <v>5000</v>
      </c>
      <c r="AI141" s="339"/>
      <c r="AJ141" s="339"/>
      <c r="AK141" s="339"/>
      <c r="AL141" s="388"/>
      <c r="AM141" s="400">
        <f t="shared" si="49"/>
        <v>0</v>
      </c>
      <c r="AO141" s="391"/>
      <c r="AP141" s="391"/>
      <c r="AQ141" s="391">
        <v>1</v>
      </c>
      <c r="AR141" s="391"/>
      <c r="AS141" s="391"/>
      <c r="AT141" s="391"/>
      <c r="AU141" s="391"/>
      <c r="AV141" s="391">
        <v>1</v>
      </c>
      <c r="AW141" s="391" t="s">
        <v>1219</v>
      </c>
    </row>
    <row r="142" spans="1:49" s="396" customFormat="1" ht="27" customHeight="1">
      <c r="A142" s="269" t="s">
        <v>355</v>
      </c>
      <c r="B142" s="270" t="s">
        <v>165</v>
      </c>
      <c r="C142" s="393"/>
      <c r="D142" s="261"/>
      <c r="E142" s="261"/>
      <c r="F142" s="393" t="s">
        <v>975</v>
      </c>
      <c r="G142" s="261"/>
      <c r="H142" s="394"/>
      <c r="I142" s="394"/>
      <c r="J142" s="394"/>
      <c r="K142" s="394"/>
      <c r="L142" s="394"/>
      <c r="M142" s="394"/>
      <c r="N142" s="394"/>
      <c r="O142" s="394"/>
      <c r="P142" s="394"/>
      <c r="Q142" s="394"/>
      <c r="R142" s="394">
        <v>0</v>
      </c>
      <c r="S142" s="394">
        <v>0</v>
      </c>
      <c r="T142" s="394"/>
      <c r="U142" s="394"/>
      <c r="V142" s="394"/>
      <c r="W142" s="394"/>
      <c r="X142" s="394">
        <v>0</v>
      </c>
      <c r="Y142" s="394"/>
      <c r="Z142" s="394"/>
      <c r="AA142" s="394"/>
      <c r="AB142" s="394">
        <v>0</v>
      </c>
      <c r="AC142" s="394"/>
      <c r="AD142" s="394"/>
      <c r="AE142" s="394"/>
      <c r="AF142" s="339">
        <f t="shared" si="85"/>
        <v>0</v>
      </c>
      <c r="AG142" s="339">
        <f t="shared" si="86"/>
        <v>0</v>
      </c>
      <c r="AH142" s="394">
        <v>0</v>
      </c>
      <c r="AI142" s="394"/>
      <c r="AJ142" s="394"/>
      <c r="AK142" s="394"/>
      <c r="AL142" s="393"/>
      <c r="AM142" s="400">
        <f t="shared" si="49"/>
        <v>0</v>
      </c>
      <c r="AO142" s="397"/>
      <c r="AP142" s="397"/>
      <c r="AQ142" s="397"/>
      <c r="AR142" s="397"/>
      <c r="AS142" s="397"/>
      <c r="AT142" s="397"/>
      <c r="AU142" s="397"/>
      <c r="AV142" s="397"/>
      <c r="AW142" s="397"/>
    </row>
    <row r="143" spans="1:49" s="396" customFormat="1" ht="27" customHeight="1">
      <c r="A143" s="269" t="s">
        <v>357</v>
      </c>
      <c r="B143" s="270" t="s">
        <v>167</v>
      </c>
      <c r="C143" s="393"/>
      <c r="D143" s="261"/>
      <c r="E143" s="261"/>
      <c r="F143" s="393" t="s">
        <v>975</v>
      </c>
      <c r="G143" s="261"/>
      <c r="H143" s="394">
        <f t="shared" ref="H143:AG143" si="89">H144+H146+H149+H152</f>
        <v>1714261</v>
      </c>
      <c r="I143" s="394">
        <f t="shared" si="89"/>
        <v>694872.5</v>
      </c>
      <c r="J143" s="394">
        <f t="shared" si="89"/>
        <v>43000</v>
      </c>
      <c r="K143" s="394">
        <f t="shared" si="89"/>
        <v>43000</v>
      </c>
      <c r="L143" s="394">
        <f t="shared" si="89"/>
        <v>25964.440654999999</v>
      </c>
      <c r="M143" s="394">
        <f t="shared" si="89"/>
        <v>25964.440654999999</v>
      </c>
      <c r="N143" s="394">
        <f t="shared" si="89"/>
        <v>33007.174912999995</v>
      </c>
      <c r="O143" s="394">
        <f t="shared" si="89"/>
        <v>33007.174912999995</v>
      </c>
      <c r="P143" s="394">
        <f t="shared" si="89"/>
        <v>43000</v>
      </c>
      <c r="Q143" s="394">
        <f t="shared" si="89"/>
        <v>43000</v>
      </c>
      <c r="R143" s="394">
        <f t="shared" si="89"/>
        <v>57400</v>
      </c>
      <c r="S143" s="394">
        <f t="shared" si="89"/>
        <v>57400</v>
      </c>
      <c r="T143" s="394">
        <f t="shared" si="89"/>
        <v>91592</v>
      </c>
      <c r="U143" s="394">
        <f t="shared" si="89"/>
        <v>0</v>
      </c>
      <c r="V143" s="394">
        <f t="shared" si="89"/>
        <v>0</v>
      </c>
      <c r="W143" s="394">
        <f t="shared" si="89"/>
        <v>0</v>
      </c>
      <c r="X143" s="394">
        <f t="shared" si="89"/>
        <v>84336</v>
      </c>
      <c r="Y143" s="394">
        <f t="shared" si="89"/>
        <v>0</v>
      </c>
      <c r="Z143" s="394">
        <f t="shared" si="89"/>
        <v>0</v>
      </c>
      <c r="AA143" s="394">
        <f t="shared" si="89"/>
        <v>0</v>
      </c>
      <c r="AB143" s="394">
        <f t="shared" si="89"/>
        <v>7656</v>
      </c>
      <c r="AC143" s="394">
        <f t="shared" si="89"/>
        <v>0</v>
      </c>
      <c r="AD143" s="394">
        <f t="shared" si="89"/>
        <v>0</v>
      </c>
      <c r="AE143" s="394">
        <f t="shared" si="89"/>
        <v>2400</v>
      </c>
      <c r="AF143" s="394">
        <f t="shared" si="89"/>
        <v>0</v>
      </c>
      <c r="AG143" s="394">
        <f t="shared" si="89"/>
        <v>400</v>
      </c>
      <c r="AH143" s="394">
        <f t="shared" ref="AH143:AK143" si="90">AH144+AH146+AH149+AH152</f>
        <v>7256</v>
      </c>
      <c r="AI143" s="394">
        <f t="shared" si="90"/>
        <v>0</v>
      </c>
      <c r="AJ143" s="394">
        <f t="shared" si="90"/>
        <v>0</v>
      </c>
      <c r="AK143" s="394">
        <f t="shared" si="90"/>
        <v>2400</v>
      </c>
      <c r="AL143" s="393"/>
      <c r="AM143" s="400">
        <f t="shared" si="49"/>
        <v>-400</v>
      </c>
      <c r="AO143" s="397"/>
      <c r="AP143" s="397"/>
      <c r="AQ143" s="397"/>
      <c r="AR143" s="397"/>
      <c r="AS143" s="397"/>
      <c r="AT143" s="397"/>
      <c r="AU143" s="397"/>
      <c r="AV143" s="397"/>
      <c r="AW143" s="397"/>
    </row>
    <row r="144" spans="1:49" s="414" customFormat="1" ht="76.5" customHeight="1">
      <c r="A144" s="416" t="s">
        <v>120</v>
      </c>
      <c r="B144" s="417" t="s">
        <v>1195</v>
      </c>
      <c r="C144" s="412"/>
      <c r="D144" s="282"/>
      <c r="E144" s="282"/>
      <c r="F144" s="412" t="s">
        <v>975</v>
      </c>
      <c r="G144" s="282"/>
      <c r="H144" s="407">
        <f t="shared" ref="H144:AG144" si="91">SUM(H145:H145)</f>
        <v>690000</v>
      </c>
      <c r="I144" s="407">
        <f t="shared" si="91"/>
        <v>40292</v>
      </c>
      <c r="J144" s="407">
        <f t="shared" si="91"/>
        <v>0</v>
      </c>
      <c r="K144" s="407">
        <f t="shared" si="91"/>
        <v>0</v>
      </c>
      <c r="L144" s="407">
        <f t="shared" si="91"/>
        <v>0</v>
      </c>
      <c r="M144" s="407">
        <f t="shared" si="91"/>
        <v>0</v>
      </c>
      <c r="N144" s="407">
        <f t="shared" si="91"/>
        <v>0</v>
      </c>
      <c r="O144" s="407">
        <f t="shared" si="91"/>
        <v>0</v>
      </c>
      <c r="P144" s="407">
        <f t="shared" si="91"/>
        <v>0</v>
      </c>
      <c r="Q144" s="407">
        <f t="shared" si="91"/>
        <v>0</v>
      </c>
      <c r="R144" s="407">
        <f t="shared" si="91"/>
        <v>0</v>
      </c>
      <c r="S144" s="407">
        <f t="shared" si="91"/>
        <v>0</v>
      </c>
      <c r="T144" s="407">
        <f t="shared" si="91"/>
        <v>25292</v>
      </c>
      <c r="U144" s="407">
        <f t="shared" si="91"/>
        <v>0</v>
      </c>
      <c r="V144" s="407">
        <f t="shared" si="91"/>
        <v>0</v>
      </c>
      <c r="W144" s="407">
        <f t="shared" si="91"/>
        <v>0</v>
      </c>
      <c r="X144" s="407">
        <f t="shared" si="91"/>
        <v>20936</v>
      </c>
      <c r="Y144" s="407">
        <f t="shared" si="91"/>
        <v>0</v>
      </c>
      <c r="Z144" s="407">
        <f t="shared" si="91"/>
        <v>0</v>
      </c>
      <c r="AA144" s="407">
        <f t="shared" si="91"/>
        <v>0</v>
      </c>
      <c r="AB144" s="407">
        <f t="shared" si="91"/>
        <v>4356</v>
      </c>
      <c r="AC144" s="407">
        <f t="shared" si="91"/>
        <v>0</v>
      </c>
      <c r="AD144" s="407">
        <f t="shared" si="91"/>
        <v>0</v>
      </c>
      <c r="AE144" s="407">
        <f t="shared" si="91"/>
        <v>0</v>
      </c>
      <c r="AF144" s="407">
        <f t="shared" si="91"/>
        <v>0</v>
      </c>
      <c r="AG144" s="407">
        <f t="shared" si="91"/>
        <v>0</v>
      </c>
      <c r="AH144" s="407">
        <f t="shared" ref="AH144:AK144" si="92">SUM(AH145:AH145)</f>
        <v>4356</v>
      </c>
      <c r="AI144" s="407">
        <f t="shared" si="92"/>
        <v>0</v>
      </c>
      <c r="AJ144" s="407">
        <f t="shared" si="92"/>
        <v>0</v>
      </c>
      <c r="AK144" s="407">
        <f t="shared" si="92"/>
        <v>0</v>
      </c>
      <c r="AL144" s="412"/>
      <c r="AM144" s="400">
        <f t="shared" si="49"/>
        <v>0</v>
      </c>
      <c r="AO144" s="415"/>
      <c r="AP144" s="415"/>
      <c r="AQ144" s="415"/>
      <c r="AR144" s="415"/>
      <c r="AS144" s="415"/>
      <c r="AT144" s="415"/>
      <c r="AU144" s="415"/>
      <c r="AV144" s="415"/>
      <c r="AW144" s="415"/>
    </row>
    <row r="145" spans="1:49" s="390" customFormat="1" ht="134.25" customHeight="1">
      <c r="A145" s="398">
        <v>1</v>
      </c>
      <c r="B145" s="399" t="s">
        <v>174</v>
      </c>
      <c r="C145" s="388"/>
      <c r="D145" s="260"/>
      <c r="E145" s="260"/>
      <c r="F145" s="388"/>
      <c r="G145" s="260" t="s">
        <v>320</v>
      </c>
      <c r="H145" s="339">
        <v>690000</v>
      </c>
      <c r="I145" s="339">
        <v>40292</v>
      </c>
      <c r="J145" s="339"/>
      <c r="K145" s="339"/>
      <c r="L145" s="339"/>
      <c r="M145" s="339"/>
      <c r="N145" s="339"/>
      <c r="O145" s="339"/>
      <c r="P145" s="339"/>
      <c r="Q145" s="339"/>
      <c r="R145" s="339"/>
      <c r="S145" s="339"/>
      <c r="T145" s="339">
        <v>25292</v>
      </c>
      <c r="U145" s="339"/>
      <c r="V145" s="339"/>
      <c r="W145" s="339"/>
      <c r="X145" s="339">
        <v>20936</v>
      </c>
      <c r="Y145" s="339"/>
      <c r="Z145" s="339"/>
      <c r="AA145" s="339"/>
      <c r="AB145" s="339">
        <v>4356</v>
      </c>
      <c r="AC145" s="339"/>
      <c r="AD145" s="339"/>
      <c r="AE145" s="339"/>
      <c r="AF145" s="339">
        <f t="shared" si="85"/>
        <v>0</v>
      </c>
      <c r="AG145" s="339">
        <f t="shared" si="86"/>
        <v>0</v>
      </c>
      <c r="AH145" s="339">
        <v>4356</v>
      </c>
      <c r="AI145" s="339"/>
      <c r="AJ145" s="339"/>
      <c r="AK145" s="339"/>
      <c r="AL145" s="388"/>
      <c r="AM145" s="400">
        <f t="shared" si="49"/>
        <v>0</v>
      </c>
      <c r="AO145" s="391"/>
      <c r="AP145" s="391">
        <v>1</v>
      </c>
      <c r="AQ145" s="391"/>
      <c r="AR145" s="391"/>
      <c r="AS145" s="391"/>
      <c r="AT145" s="391"/>
      <c r="AU145" s="391"/>
      <c r="AV145" s="391">
        <v>1</v>
      </c>
      <c r="AW145" s="391" t="s">
        <v>1164</v>
      </c>
    </row>
    <row r="146" spans="1:49" s="414" customFormat="1" ht="34.5">
      <c r="A146" s="404" t="s">
        <v>122</v>
      </c>
      <c r="B146" s="405" t="s">
        <v>1183</v>
      </c>
      <c r="C146" s="388"/>
      <c r="D146" s="310"/>
      <c r="E146" s="282"/>
      <c r="F146" s="412"/>
      <c r="G146" s="282"/>
      <c r="H146" s="407">
        <f>SUM(H147:H148)</f>
        <v>74000</v>
      </c>
      <c r="I146" s="407">
        <f t="shared" ref="I146:AG146" si="93">SUM(I147:I148)</f>
        <v>63100</v>
      </c>
      <c r="J146" s="407">
        <f t="shared" si="93"/>
        <v>42000</v>
      </c>
      <c r="K146" s="407">
        <f t="shared" si="93"/>
        <v>42000</v>
      </c>
      <c r="L146" s="407">
        <f t="shared" si="93"/>
        <v>25964.440654999999</v>
      </c>
      <c r="M146" s="407">
        <f t="shared" si="93"/>
        <v>25964.440654999999</v>
      </c>
      <c r="N146" s="407">
        <f t="shared" si="93"/>
        <v>33007.174912999995</v>
      </c>
      <c r="O146" s="407">
        <f t="shared" si="93"/>
        <v>33007.174912999995</v>
      </c>
      <c r="P146" s="407">
        <f t="shared" si="93"/>
        <v>42000</v>
      </c>
      <c r="Q146" s="407">
        <f t="shared" si="93"/>
        <v>42000</v>
      </c>
      <c r="R146" s="407">
        <f t="shared" si="93"/>
        <v>56200</v>
      </c>
      <c r="S146" s="407">
        <f t="shared" si="93"/>
        <v>56200</v>
      </c>
      <c r="T146" s="407">
        <f t="shared" si="93"/>
        <v>62700</v>
      </c>
      <c r="U146" s="407">
        <f t="shared" si="93"/>
        <v>0</v>
      </c>
      <c r="V146" s="407">
        <f t="shared" si="93"/>
        <v>0</v>
      </c>
      <c r="W146" s="407">
        <f t="shared" si="93"/>
        <v>0</v>
      </c>
      <c r="X146" s="407">
        <f t="shared" si="93"/>
        <v>62200</v>
      </c>
      <c r="Y146" s="407">
        <f t="shared" si="93"/>
        <v>0</v>
      </c>
      <c r="Z146" s="407">
        <f t="shared" si="93"/>
        <v>0</v>
      </c>
      <c r="AA146" s="407">
        <f t="shared" si="93"/>
        <v>0</v>
      </c>
      <c r="AB146" s="407">
        <f t="shared" si="93"/>
        <v>900</v>
      </c>
      <c r="AC146" s="407">
        <f t="shared" si="93"/>
        <v>0</v>
      </c>
      <c r="AD146" s="407">
        <f t="shared" si="93"/>
        <v>0</v>
      </c>
      <c r="AE146" s="407">
        <f t="shared" si="93"/>
        <v>0</v>
      </c>
      <c r="AF146" s="407">
        <f t="shared" si="93"/>
        <v>0</v>
      </c>
      <c r="AG146" s="407">
        <f t="shared" si="93"/>
        <v>400</v>
      </c>
      <c r="AH146" s="407">
        <f t="shared" ref="AH146:AK146" si="94">SUM(AH147:AH148)</f>
        <v>500</v>
      </c>
      <c r="AI146" s="407">
        <f t="shared" si="94"/>
        <v>0</v>
      </c>
      <c r="AJ146" s="407">
        <f t="shared" si="94"/>
        <v>0</v>
      </c>
      <c r="AK146" s="407">
        <f t="shared" si="94"/>
        <v>0</v>
      </c>
      <c r="AL146" s="412"/>
      <c r="AM146" s="400">
        <f t="shared" si="49"/>
        <v>-400</v>
      </c>
      <c r="AO146" s="415"/>
      <c r="AP146" s="415"/>
      <c r="AQ146" s="415"/>
      <c r="AR146" s="415"/>
      <c r="AS146" s="415"/>
      <c r="AT146" s="415"/>
      <c r="AU146" s="415"/>
      <c r="AV146" s="415"/>
      <c r="AW146" s="415"/>
    </row>
    <row r="147" spans="1:49" s="390" customFormat="1" ht="74.25" customHeight="1">
      <c r="A147" s="398">
        <v>1</v>
      </c>
      <c r="B147" s="399" t="s">
        <v>532</v>
      </c>
      <c r="C147" s="388" t="s">
        <v>39</v>
      </c>
      <c r="D147" s="260" t="s">
        <v>627</v>
      </c>
      <c r="E147" s="260" t="s">
        <v>763</v>
      </c>
      <c r="F147" s="388" t="s">
        <v>1165</v>
      </c>
      <c r="G147" s="260" t="s">
        <v>764</v>
      </c>
      <c r="H147" s="339">
        <v>35000</v>
      </c>
      <c r="I147" s="339">
        <v>24100</v>
      </c>
      <c r="J147" s="339">
        <v>20000</v>
      </c>
      <c r="K147" s="339">
        <v>20000</v>
      </c>
      <c r="L147" s="339">
        <v>10751.87585</v>
      </c>
      <c r="M147" s="339">
        <v>10751.87585</v>
      </c>
      <c r="N147" s="339">
        <v>15075.746418999999</v>
      </c>
      <c r="O147" s="339">
        <v>15075.746418999999</v>
      </c>
      <c r="P147" s="339">
        <v>20000</v>
      </c>
      <c r="Q147" s="339">
        <v>20000</v>
      </c>
      <c r="R147" s="339">
        <v>20000</v>
      </c>
      <c r="S147" s="339">
        <v>20000</v>
      </c>
      <c r="T147" s="339">
        <v>24100</v>
      </c>
      <c r="U147" s="339"/>
      <c r="V147" s="339"/>
      <c r="W147" s="339"/>
      <c r="X147" s="339">
        <v>24000</v>
      </c>
      <c r="Y147" s="339"/>
      <c r="Z147" s="339"/>
      <c r="AA147" s="339"/>
      <c r="AB147" s="339">
        <v>100</v>
      </c>
      <c r="AC147" s="339"/>
      <c r="AD147" s="339"/>
      <c r="AE147" s="339"/>
      <c r="AF147" s="339">
        <f t="shared" si="85"/>
        <v>0</v>
      </c>
      <c r="AG147" s="339">
        <f t="shared" si="86"/>
        <v>0</v>
      </c>
      <c r="AH147" s="339">
        <v>100</v>
      </c>
      <c r="AI147" s="339"/>
      <c r="AJ147" s="339"/>
      <c r="AK147" s="339"/>
      <c r="AL147" s="388"/>
      <c r="AM147" s="400">
        <f t="shared" si="49"/>
        <v>0</v>
      </c>
      <c r="AO147" s="391"/>
      <c r="AP147" s="391"/>
      <c r="AQ147" s="391">
        <v>1</v>
      </c>
      <c r="AR147" s="391"/>
      <c r="AS147" s="391"/>
      <c r="AT147" s="391"/>
      <c r="AU147" s="391"/>
      <c r="AV147" s="391">
        <v>1</v>
      </c>
      <c r="AW147" s="391" t="s">
        <v>1164</v>
      </c>
    </row>
    <row r="148" spans="1:49" s="390" customFormat="1" ht="35.25">
      <c r="A148" s="398">
        <v>2</v>
      </c>
      <c r="B148" s="399" t="s">
        <v>535</v>
      </c>
      <c r="C148" s="388" t="s">
        <v>39</v>
      </c>
      <c r="D148" s="260" t="s">
        <v>230</v>
      </c>
      <c r="E148" s="260" t="s">
        <v>765</v>
      </c>
      <c r="F148" s="388" t="s">
        <v>1165</v>
      </c>
      <c r="G148" s="260" t="s">
        <v>766</v>
      </c>
      <c r="H148" s="339">
        <v>39000</v>
      </c>
      <c r="I148" s="339">
        <v>39000</v>
      </c>
      <c r="J148" s="339">
        <v>22000</v>
      </c>
      <c r="K148" s="339">
        <v>22000</v>
      </c>
      <c r="L148" s="339">
        <v>15212.564805</v>
      </c>
      <c r="M148" s="339">
        <v>15212.564805</v>
      </c>
      <c r="N148" s="339">
        <v>17931.428494</v>
      </c>
      <c r="O148" s="339">
        <v>17931.428494</v>
      </c>
      <c r="P148" s="339">
        <v>22000</v>
      </c>
      <c r="Q148" s="339">
        <v>22000</v>
      </c>
      <c r="R148" s="339">
        <v>36200</v>
      </c>
      <c r="S148" s="339">
        <v>36200</v>
      </c>
      <c r="T148" s="339">
        <v>38600</v>
      </c>
      <c r="U148" s="339"/>
      <c r="V148" s="339"/>
      <c r="W148" s="339"/>
      <c r="X148" s="339">
        <v>38200</v>
      </c>
      <c r="Y148" s="339"/>
      <c r="Z148" s="339"/>
      <c r="AA148" s="339"/>
      <c r="AB148" s="339">
        <v>800</v>
      </c>
      <c r="AC148" s="339"/>
      <c r="AD148" s="339"/>
      <c r="AE148" s="339"/>
      <c r="AF148" s="339">
        <f t="shared" si="85"/>
        <v>0</v>
      </c>
      <c r="AG148" s="339">
        <f t="shared" si="86"/>
        <v>400</v>
      </c>
      <c r="AH148" s="339">
        <v>400</v>
      </c>
      <c r="AI148" s="339"/>
      <c r="AJ148" s="339"/>
      <c r="AK148" s="339"/>
      <c r="AL148" s="388" t="s">
        <v>1099</v>
      </c>
      <c r="AM148" s="400">
        <f t="shared" ref="AM148:AM211" si="95">T148-X148-AB148</f>
        <v>-400</v>
      </c>
      <c r="AO148" s="391"/>
      <c r="AP148" s="391"/>
      <c r="AQ148" s="391">
        <v>1</v>
      </c>
      <c r="AR148" s="391"/>
      <c r="AS148" s="391"/>
      <c r="AT148" s="391"/>
      <c r="AU148" s="391"/>
      <c r="AV148" s="391">
        <v>1</v>
      </c>
      <c r="AW148" s="391" t="s">
        <v>1164</v>
      </c>
    </row>
    <row r="149" spans="1:49" s="414" customFormat="1">
      <c r="A149" s="404" t="s">
        <v>350</v>
      </c>
      <c r="B149" s="405" t="s">
        <v>1192</v>
      </c>
      <c r="C149" s="412"/>
      <c r="D149" s="310"/>
      <c r="E149" s="282"/>
      <c r="F149" s="412"/>
      <c r="G149" s="282"/>
      <c r="H149" s="407">
        <f>SUM(H150:H151)</f>
        <v>135000</v>
      </c>
      <c r="I149" s="407">
        <f t="shared" ref="I149:AG149" si="96">SUM(I150:I151)</f>
        <v>135000</v>
      </c>
      <c r="J149" s="407">
        <f t="shared" si="96"/>
        <v>1000</v>
      </c>
      <c r="K149" s="407">
        <f t="shared" si="96"/>
        <v>1000</v>
      </c>
      <c r="L149" s="407">
        <f t="shared" si="96"/>
        <v>0</v>
      </c>
      <c r="M149" s="407">
        <f t="shared" si="96"/>
        <v>0</v>
      </c>
      <c r="N149" s="407">
        <f t="shared" si="96"/>
        <v>0</v>
      </c>
      <c r="O149" s="407">
        <f t="shared" si="96"/>
        <v>0</v>
      </c>
      <c r="P149" s="407">
        <f t="shared" si="96"/>
        <v>1000</v>
      </c>
      <c r="Q149" s="407">
        <f t="shared" si="96"/>
        <v>1000</v>
      </c>
      <c r="R149" s="407">
        <f t="shared" si="96"/>
        <v>1000</v>
      </c>
      <c r="S149" s="407">
        <f t="shared" si="96"/>
        <v>1000</v>
      </c>
      <c r="T149" s="407">
        <f t="shared" si="96"/>
        <v>1000</v>
      </c>
      <c r="U149" s="407">
        <f t="shared" si="96"/>
        <v>0</v>
      </c>
      <c r="V149" s="407">
        <f t="shared" si="96"/>
        <v>0</v>
      </c>
      <c r="W149" s="407">
        <f t="shared" si="96"/>
        <v>0</v>
      </c>
      <c r="X149" s="407">
        <f t="shared" si="96"/>
        <v>1000</v>
      </c>
      <c r="Y149" s="407">
        <f t="shared" si="96"/>
        <v>0</v>
      </c>
      <c r="Z149" s="407">
        <f t="shared" si="96"/>
        <v>0</v>
      </c>
      <c r="AA149" s="407">
        <f t="shared" si="96"/>
        <v>0</v>
      </c>
      <c r="AB149" s="407">
        <f t="shared" si="96"/>
        <v>0</v>
      </c>
      <c r="AC149" s="407">
        <f t="shared" si="96"/>
        <v>0</v>
      </c>
      <c r="AD149" s="407">
        <f t="shared" si="96"/>
        <v>0</v>
      </c>
      <c r="AE149" s="407">
        <f t="shared" si="96"/>
        <v>0</v>
      </c>
      <c r="AF149" s="407">
        <f t="shared" si="96"/>
        <v>0</v>
      </c>
      <c r="AG149" s="407">
        <f t="shared" si="96"/>
        <v>0</v>
      </c>
      <c r="AH149" s="407">
        <f t="shared" ref="AH149:AK149" si="97">SUM(AH150:AH151)</f>
        <v>0</v>
      </c>
      <c r="AI149" s="407">
        <f t="shared" si="97"/>
        <v>0</v>
      </c>
      <c r="AJ149" s="407">
        <f t="shared" si="97"/>
        <v>0</v>
      </c>
      <c r="AK149" s="407">
        <f t="shared" si="97"/>
        <v>0</v>
      </c>
      <c r="AL149" s="412"/>
      <c r="AM149" s="400">
        <f t="shared" si="95"/>
        <v>0</v>
      </c>
      <c r="AO149" s="415"/>
      <c r="AP149" s="415"/>
      <c r="AQ149" s="415"/>
      <c r="AR149" s="415"/>
      <c r="AS149" s="415"/>
      <c r="AT149" s="415"/>
      <c r="AU149" s="415"/>
      <c r="AV149" s="415"/>
      <c r="AW149" s="415"/>
    </row>
    <row r="150" spans="1:49" s="390" customFormat="1" ht="72.75" customHeight="1">
      <c r="A150" s="398">
        <v>1</v>
      </c>
      <c r="B150" s="399" t="s">
        <v>533</v>
      </c>
      <c r="C150" s="388" t="s">
        <v>38</v>
      </c>
      <c r="D150" s="260"/>
      <c r="E150" s="260"/>
      <c r="F150" s="388" t="s">
        <v>975</v>
      </c>
      <c r="G150" s="260"/>
      <c r="H150" s="339">
        <v>115000</v>
      </c>
      <c r="I150" s="339">
        <v>115000</v>
      </c>
      <c r="J150" s="339">
        <v>500</v>
      </c>
      <c r="K150" s="339">
        <v>500</v>
      </c>
      <c r="L150" s="339"/>
      <c r="M150" s="339"/>
      <c r="N150" s="339"/>
      <c r="O150" s="339"/>
      <c r="P150" s="339">
        <v>500</v>
      </c>
      <c r="Q150" s="339">
        <v>500</v>
      </c>
      <c r="R150" s="339">
        <v>500</v>
      </c>
      <c r="S150" s="339">
        <v>500</v>
      </c>
      <c r="T150" s="339">
        <v>500</v>
      </c>
      <c r="U150" s="339"/>
      <c r="V150" s="339"/>
      <c r="W150" s="339"/>
      <c r="X150" s="339">
        <v>500</v>
      </c>
      <c r="Y150" s="339"/>
      <c r="Z150" s="339"/>
      <c r="AA150" s="339"/>
      <c r="AB150" s="339">
        <v>0</v>
      </c>
      <c r="AC150" s="339"/>
      <c r="AD150" s="339"/>
      <c r="AE150" s="339"/>
      <c r="AF150" s="339">
        <f t="shared" si="85"/>
        <v>0</v>
      </c>
      <c r="AG150" s="339">
        <f t="shared" si="86"/>
        <v>0</v>
      </c>
      <c r="AH150" s="339">
        <v>0</v>
      </c>
      <c r="AI150" s="339"/>
      <c r="AJ150" s="339"/>
      <c r="AK150" s="339"/>
      <c r="AL150" s="388" t="s">
        <v>1168</v>
      </c>
      <c r="AM150" s="400">
        <f t="shared" si="95"/>
        <v>0</v>
      </c>
      <c r="AN150" s="411" t="s">
        <v>1216</v>
      </c>
      <c r="AO150" s="391"/>
      <c r="AP150" s="391"/>
      <c r="AQ150" s="391"/>
      <c r="AR150" s="391"/>
      <c r="AS150" s="391">
        <v>1</v>
      </c>
      <c r="AT150" s="391"/>
      <c r="AU150" s="391"/>
      <c r="AV150" s="391"/>
      <c r="AW150" s="391"/>
    </row>
    <row r="151" spans="1:49" s="390" customFormat="1" ht="72.75" customHeight="1">
      <c r="A151" s="398">
        <v>2</v>
      </c>
      <c r="B151" s="399" t="s">
        <v>534</v>
      </c>
      <c r="C151" s="388" t="s">
        <v>39</v>
      </c>
      <c r="D151" s="260"/>
      <c r="E151" s="260"/>
      <c r="F151" s="388" t="s">
        <v>975</v>
      </c>
      <c r="G151" s="260"/>
      <c r="H151" s="339">
        <v>20000</v>
      </c>
      <c r="I151" s="339">
        <v>20000</v>
      </c>
      <c r="J151" s="186">
        <v>500</v>
      </c>
      <c r="K151" s="186">
        <v>500</v>
      </c>
      <c r="L151" s="339"/>
      <c r="M151" s="339"/>
      <c r="N151" s="339"/>
      <c r="O151" s="339"/>
      <c r="P151" s="186">
        <v>500</v>
      </c>
      <c r="Q151" s="186">
        <v>500</v>
      </c>
      <c r="R151" s="339">
        <v>500</v>
      </c>
      <c r="S151" s="339">
        <v>500</v>
      </c>
      <c r="T151" s="339">
        <v>500</v>
      </c>
      <c r="U151" s="339"/>
      <c r="V151" s="339"/>
      <c r="W151" s="339"/>
      <c r="X151" s="339">
        <v>500</v>
      </c>
      <c r="Y151" s="339"/>
      <c r="Z151" s="339"/>
      <c r="AA151" s="339"/>
      <c r="AB151" s="339">
        <v>0</v>
      </c>
      <c r="AC151" s="339"/>
      <c r="AD151" s="339"/>
      <c r="AE151" s="339"/>
      <c r="AF151" s="339">
        <f t="shared" si="85"/>
        <v>0</v>
      </c>
      <c r="AG151" s="339">
        <f t="shared" si="86"/>
        <v>0</v>
      </c>
      <c r="AH151" s="339">
        <v>0</v>
      </c>
      <c r="AI151" s="339"/>
      <c r="AJ151" s="339"/>
      <c r="AK151" s="339"/>
      <c r="AL151" s="388" t="s">
        <v>1168</v>
      </c>
      <c r="AM151" s="400">
        <f t="shared" si="95"/>
        <v>0</v>
      </c>
      <c r="AN151" s="411" t="s">
        <v>1216</v>
      </c>
      <c r="AO151" s="391"/>
      <c r="AP151" s="391"/>
      <c r="AQ151" s="391"/>
      <c r="AR151" s="391"/>
      <c r="AS151" s="391">
        <v>1</v>
      </c>
      <c r="AT151" s="391"/>
      <c r="AU151" s="391"/>
      <c r="AV151" s="391"/>
      <c r="AW151" s="391"/>
    </row>
    <row r="152" spans="1:49" s="414" customFormat="1" ht="45.75" customHeight="1">
      <c r="A152" s="404" t="s">
        <v>471</v>
      </c>
      <c r="B152" s="405" t="s">
        <v>1188</v>
      </c>
      <c r="C152" s="412"/>
      <c r="D152" s="282"/>
      <c r="E152" s="282"/>
      <c r="F152" s="412"/>
      <c r="G152" s="282"/>
      <c r="H152" s="407">
        <f>SUM(H153:H157)</f>
        <v>815261</v>
      </c>
      <c r="I152" s="407">
        <f t="shared" ref="I152:AG152" si="98">SUM(I153:I157)</f>
        <v>456480.5</v>
      </c>
      <c r="J152" s="407">
        <f t="shared" si="98"/>
        <v>0</v>
      </c>
      <c r="K152" s="407">
        <f t="shared" si="98"/>
        <v>0</v>
      </c>
      <c r="L152" s="407">
        <f t="shared" si="98"/>
        <v>0</v>
      </c>
      <c r="M152" s="407">
        <f t="shared" si="98"/>
        <v>0</v>
      </c>
      <c r="N152" s="407">
        <f t="shared" si="98"/>
        <v>0</v>
      </c>
      <c r="O152" s="407">
        <f t="shared" si="98"/>
        <v>0</v>
      </c>
      <c r="P152" s="407">
        <f t="shared" si="98"/>
        <v>0</v>
      </c>
      <c r="Q152" s="407">
        <f t="shared" si="98"/>
        <v>0</v>
      </c>
      <c r="R152" s="407">
        <f t="shared" si="98"/>
        <v>200</v>
      </c>
      <c r="S152" s="407">
        <f t="shared" si="98"/>
        <v>200</v>
      </c>
      <c r="T152" s="407">
        <f t="shared" si="98"/>
        <v>2600</v>
      </c>
      <c r="U152" s="407">
        <f t="shared" si="98"/>
        <v>0</v>
      </c>
      <c r="V152" s="407">
        <f t="shared" si="98"/>
        <v>0</v>
      </c>
      <c r="W152" s="407">
        <f t="shared" si="98"/>
        <v>0</v>
      </c>
      <c r="X152" s="407">
        <f t="shared" si="98"/>
        <v>200</v>
      </c>
      <c r="Y152" s="407">
        <f t="shared" si="98"/>
        <v>0</v>
      </c>
      <c r="Z152" s="407">
        <f t="shared" si="98"/>
        <v>0</v>
      </c>
      <c r="AA152" s="407">
        <f t="shared" si="98"/>
        <v>0</v>
      </c>
      <c r="AB152" s="407">
        <f t="shared" si="98"/>
        <v>2400</v>
      </c>
      <c r="AC152" s="407">
        <f t="shared" si="98"/>
        <v>0</v>
      </c>
      <c r="AD152" s="407">
        <f t="shared" si="98"/>
        <v>0</v>
      </c>
      <c r="AE152" s="407">
        <f t="shared" si="98"/>
        <v>2400</v>
      </c>
      <c r="AF152" s="407">
        <f t="shared" si="98"/>
        <v>0</v>
      </c>
      <c r="AG152" s="407">
        <f t="shared" si="98"/>
        <v>0</v>
      </c>
      <c r="AH152" s="407">
        <f t="shared" ref="AH152:AK152" si="99">SUM(AH153:AH157)</f>
        <v>2400</v>
      </c>
      <c r="AI152" s="407">
        <f t="shared" si="99"/>
        <v>0</v>
      </c>
      <c r="AJ152" s="407">
        <f t="shared" si="99"/>
        <v>0</v>
      </c>
      <c r="AK152" s="407">
        <f t="shared" si="99"/>
        <v>2400</v>
      </c>
      <c r="AL152" s="412"/>
      <c r="AM152" s="400">
        <f t="shared" si="95"/>
        <v>0</v>
      </c>
      <c r="AO152" s="415"/>
      <c r="AP152" s="415"/>
      <c r="AQ152" s="415"/>
      <c r="AR152" s="415"/>
      <c r="AS152" s="415"/>
      <c r="AT152" s="415"/>
      <c r="AU152" s="415"/>
      <c r="AV152" s="415"/>
      <c r="AW152" s="415"/>
    </row>
    <row r="153" spans="1:49" s="390" customFormat="1" ht="91.5" customHeight="1">
      <c r="A153" s="398">
        <v>1</v>
      </c>
      <c r="B153" s="399" t="s">
        <v>531</v>
      </c>
      <c r="C153" s="388" t="s">
        <v>39</v>
      </c>
      <c r="D153" s="260"/>
      <c r="E153" s="260"/>
      <c r="F153" s="388" t="s">
        <v>975</v>
      </c>
      <c r="G153" s="260"/>
      <c r="H153" s="339">
        <v>25000</v>
      </c>
      <c r="I153" s="339">
        <v>25000</v>
      </c>
      <c r="J153" s="185"/>
      <c r="K153" s="185"/>
      <c r="L153" s="339"/>
      <c r="M153" s="339"/>
      <c r="N153" s="339"/>
      <c r="O153" s="339"/>
      <c r="P153" s="339"/>
      <c r="Q153" s="339"/>
      <c r="R153" s="339">
        <v>200</v>
      </c>
      <c r="S153" s="339">
        <v>200</v>
      </c>
      <c r="T153" s="339">
        <v>400</v>
      </c>
      <c r="U153" s="339"/>
      <c r="V153" s="339"/>
      <c r="W153" s="339"/>
      <c r="X153" s="339">
        <v>200</v>
      </c>
      <c r="Y153" s="339"/>
      <c r="Z153" s="339"/>
      <c r="AA153" s="339"/>
      <c r="AB153" s="339">
        <v>200</v>
      </c>
      <c r="AC153" s="339"/>
      <c r="AD153" s="339"/>
      <c r="AE153" s="339">
        <v>200</v>
      </c>
      <c r="AF153" s="339">
        <f t="shared" si="85"/>
        <v>0</v>
      </c>
      <c r="AG153" s="339">
        <f t="shared" si="86"/>
        <v>0</v>
      </c>
      <c r="AH153" s="339">
        <v>200</v>
      </c>
      <c r="AI153" s="339"/>
      <c r="AJ153" s="339"/>
      <c r="AK153" s="339">
        <v>200</v>
      </c>
      <c r="AL153" s="388" t="s">
        <v>1213</v>
      </c>
      <c r="AM153" s="400">
        <f t="shared" si="95"/>
        <v>0</v>
      </c>
      <c r="AO153" s="391"/>
      <c r="AP153" s="391"/>
      <c r="AQ153" s="391"/>
      <c r="AR153" s="391"/>
      <c r="AS153" s="391"/>
      <c r="AT153" s="391">
        <v>1</v>
      </c>
      <c r="AU153" s="391"/>
      <c r="AV153" s="391"/>
      <c r="AW153" s="391"/>
    </row>
    <row r="154" spans="1:49" s="390" customFormat="1" ht="74.25" customHeight="1">
      <c r="A154" s="398">
        <v>3</v>
      </c>
      <c r="B154" s="399" t="s">
        <v>1022</v>
      </c>
      <c r="C154" s="388"/>
      <c r="D154" s="260"/>
      <c r="E154" s="260"/>
      <c r="F154" s="388"/>
      <c r="G154" s="260"/>
      <c r="H154" s="339">
        <v>39900</v>
      </c>
      <c r="I154" s="339">
        <v>34900</v>
      </c>
      <c r="J154" s="185"/>
      <c r="K154" s="185"/>
      <c r="L154" s="339"/>
      <c r="M154" s="339"/>
      <c r="N154" s="339"/>
      <c r="O154" s="339"/>
      <c r="P154" s="339"/>
      <c r="Q154" s="339"/>
      <c r="R154" s="339"/>
      <c r="S154" s="339"/>
      <c r="T154" s="339">
        <v>500</v>
      </c>
      <c r="U154" s="339"/>
      <c r="V154" s="339"/>
      <c r="W154" s="339"/>
      <c r="X154" s="339"/>
      <c r="Y154" s="339"/>
      <c r="Z154" s="339"/>
      <c r="AA154" s="339"/>
      <c r="AB154" s="339">
        <v>500</v>
      </c>
      <c r="AC154" s="339"/>
      <c r="AD154" s="339"/>
      <c r="AE154" s="339">
        <v>500</v>
      </c>
      <c r="AF154" s="339">
        <f t="shared" si="85"/>
        <v>0</v>
      </c>
      <c r="AG154" s="339">
        <f t="shared" si="86"/>
        <v>0</v>
      </c>
      <c r="AH154" s="339">
        <v>500</v>
      </c>
      <c r="AI154" s="339"/>
      <c r="AJ154" s="339"/>
      <c r="AK154" s="339">
        <v>500</v>
      </c>
      <c r="AL154" s="388" t="s">
        <v>1213</v>
      </c>
      <c r="AM154" s="400">
        <f t="shared" si="95"/>
        <v>0</v>
      </c>
      <c r="AO154" s="391"/>
      <c r="AP154" s="391"/>
      <c r="AQ154" s="391"/>
      <c r="AR154" s="391"/>
      <c r="AS154" s="391"/>
      <c r="AT154" s="391">
        <v>1</v>
      </c>
      <c r="AU154" s="391"/>
      <c r="AV154" s="391"/>
      <c r="AW154" s="391"/>
    </row>
    <row r="155" spans="1:49" s="390" customFormat="1" ht="54" customHeight="1">
      <c r="A155" s="398">
        <v>4</v>
      </c>
      <c r="B155" s="399" t="s">
        <v>1023</v>
      </c>
      <c r="C155" s="388"/>
      <c r="D155" s="260"/>
      <c r="E155" s="260"/>
      <c r="F155" s="388"/>
      <c r="G155" s="260"/>
      <c r="H155" s="339">
        <v>39900</v>
      </c>
      <c r="I155" s="339">
        <v>36900</v>
      </c>
      <c r="J155" s="185"/>
      <c r="K155" s="185"/>
      <c r="L155" s="339"/>
      <c r="M155" s="339"/>
      <c r="N155" s="339"/>
      <c r="O155" s="339"/>
      <c r="P155" s="339"/>
      <c r="Q155" s="339"/>
      <c r="R155" s="339"/>
      <c r="S155" s="339"/>
      <c r="T155" s="339">
        <v>500</v>
      </c>
      <c r="U155" s="339"/>
      <c r="V155" s="339"/>
      <c r="W155" s="339"/>
      <c r="X155" s="339"/>
      <c r="Y155" s="339"/>
      <c r="Z155" s="339"/>
      <c r="AA155" s="339"/>
      <c r="AB155" s="339">
        <v>500</v>
      </c>
      <c r="AC155" s="339"/>
      <c r="AD155" s="339"/>
      <c r="AE155" s="339">
        <v>500</v>
      </c>
      <c r="AF155" s="339">
        <f t="shared" si="85"/>
        <v>0</v>
      </c>
      <c r="AG155" s="339">
        <f t="shared" si="86"/>
        <v>0</v>
      </c>
      <c r="AH155" s="339">
        <v>500</v>
      </c>
      <c r="AI155" s="339"/>
      <c r="AJ155" s="339"/>
      <c r="AK155" s="339">
        <v>500</v>
      </c>
      <c r="AL155" s="388" t="s">
        <v>1213</v>
      </c>
      <c r="AM155" s="400">
        <f t="shared" si="95"/>
        <v>0</v>
      </c>
      <c r="AO155" s="391"/>
      <c r="AP155" s="391"/>
      <c r="AQ155" s="391"/>
      <c r="AR155" s="391"/>
      <c r="AS155" s="391"/>
      <c r="AT155" s="391">
        <v>1</v>
      </c>
      <c r="AU155" s="391"/>
      <c r="AV155" s="391"/>
      <c r="AW155" s="391"/>
    </row>
    <row r="156" spans="1:49" s="390" customFormat="1" ht="54" customHeight="1">
      <c r="A156" s="398">
        <v>5</v>
      </c>
      <c r="B156" s="399" t="s">
        <v>1024</v>
      </c>
      <c r="C156" s="388"/>
      <c r="D156" s="260"/>
      <c r="E156" s="260"/>
      <c r="F156" s="388"/>
      <c r="G156" s="260"/>
      <c r="H156" s="339">
        <v>14900</v>
      </c>
      <c r="I156" s="339">
        <v>11900</v>
      </c>
      <c r="J156" s="185"/>
      <c r="K156" s="185"/>
      <c r="L156" s="339"/>
      <c r="M156" s="339"/>
      <c r="N156" s="339"/>
      <c r="O156" s="339"/>
      <c r="P156" s="339"/>
      <c r="Q156" s="339"/>
      <c r="R156" s="339"/>
      <c r="S156" s="339"/>
      <c r="T156" s="339">
        <v>200</v>
      </c>
      <c r="U156" s="339"/>
      <c r="V156" s="339"/>
      <c r="W156" s="339"/>
      <c r="X156" s="339"/>
      <c r="Y156" s="339"/>
      <c r="Z156" s="339"/>
      <c r="AA156" s="339"/>
      <c r="AB156" s="339">
        <v>200</v>
      </c>
      <c r="AC156" s="339"/>
      <c r="AD156" s="339"/>
      <c r="AE156" s="339">
        <v>200</v>
      </c>
      <c r="AF156" s="339">
        <f t="shared" si="85"/>
        <v>0</v>
      </c>
      <c r="AG156" s="339">
        <f t="shared" si="86"/>
        <v>0</v>
      </c>
      <c r="AH156" s="339">
        <v>200</v>
      </c>
      <c r="AI156" s="339"/>
      <c r="AJ156" s="339"/>
      <c r="AK156" s="339">
        <v>200</v>
      </c>
      <c r="AL156" s="388" t="s">
        <v>1213</v>
      </c>
      <c r="AM156" s="400">
        <f t="shared" si="95"/>
        <v>0</v>
      </c>
      <c r="AO156" s="391"/>
      <c r="AP156" s="391"/>
      <c r="AQ156" s="391"/>
      <c r="AR156" s="391"/>
      <c r="AS156" s="391"/>
      <c r="AT156" s="391">
        <v>1</v>
      </c>
      <c r="AU156" s="391"/>
      <c r="AV156" s="391"/>
      <c r="AW156" s="391"/>
    </row>
    <row r="157" spans="1:49" s="390" customFormat="1" ht="54" customHeight="1">
      <c r="A157" s="398">
        <v>6</v>
      </c>
      <c r="B157" s="399" t="s">
        <v>1027</v>
      </c>
      <c r="C157" s="388"/>
      <c r="D157" s="260"/>
      <c r="E157" s="260"/>
      <c r="F157" s="388"/>
      <c r="G157" s="260"/>
      <c r="H157" s="339">
        <v>695561</v>
      </c>
      <c r="I157" s="339">
        <v>347780.5</v>
      </c>
      <c r="J157" s="185"/>
      <c r="K157" s="185"/>
      <c r="L157" s="339"/>
      <c r="M157" s="339"/>
      <c r="N157" s="339"/>
      <c r="O157" s="339"/>
      <c r="P157" s="339"/>
      <c r="Q157" s="339"/>
      <c r="R157" s="339"/>
      <c r="S157" s="339"/>
      <c r="T157" s="339">
        <v>1000</v>
      </c>
      <c r="U157" s="339"/>
      <c r="V157" s="339"/>
      <c r="W157" s="339"/>
      <c r="X157" s="339"/>
      <c r="Y157" s="339"/>
      <c r="Z157" s="339"/>
      <c r="AA157" s="339"/>
      <c r="AB157" s="339">
        <v>1000</v>
      </c>
      <c r="AC157" s="339"/>
      <c r="AD157" s="339"/>
      <c r="AE157" s="339">
        <v>1000</v>
      </c>
      <c r="AF157" s="339">
        <f t="shared" si="85"/>
        <v>0</v>
      </c>
      <c r="AG157" s="339">
        <f t="shared" si="86"/>
        <v>0</v>
      </c>
      <c r="AH157" s="339">
        <v>1000</v>
      </c>
      <c r="AI157" s="339"/>
      <c r="AJ157" s="339"/>
      <c r="AK157" s="339">
        <v>1000</v>
      </c>
      <c r="AL157" s="388" t="s">
        <v>1213</v>
      </c>
      <c r="AM157" s="400">
        <f t="shared" si="95"/>
        <v>0</v>
      </c>
      <c r="AO157" s="391"/>
      <c r="AP157" s="391"/>
      <c r="AQ157" s="391"/>
      <c r="AR157" s="391"/>
      <c r="AS157" s="391"/>
      <c r="AT157" s="391">
        <v>1</v>
      </c>
      <c r="AU157" s="391"/>
      <c r="AV157" s="391"/>
      <c r="AW157" s="391"/>
    </row>
    <row r="158" spans="1:49" s="396" customFormat="1" ht="27" customHeight="1">
      <c r="A158" s="269" t="s">
        <v>358</v>
      </c>
      <c r="B158" s="270" t="s">
        <v>536</v>
      </c>
      <c r="C158" s="393"/>
      <c r="D158" s="261"/>
      <c r="E158" s="261"/>
      <c r="F158" s="393" t="s">
        <v>975</v>
      </c>
      <c r="G158" s="261"/>
      <c r="H158" s="394"/>
      <c r="I158" s="394"/>
      <c r="J158" s="394"/>
      <c r="K158" s="394"/>
      <c r="L158" s="394"/>
      <c r="M158" s="394"/>
      <c r="N158" s="394"/>
      <c r="O158" s="394"/>
      <c r="P158" s="394"/>
      <c r="Q158" s="394"/>
      <c r="R158" s="394">
        <v>0</v>
      </c>
      <c r="S158" s="394">
        <v>0</v>
      </c>
      <c r="T158" s="394"/>
      <c r="U158" s="394"/>
      <c r="V158" s="394"/>
      <c r="W158" s="394"/>
      <c r="X158" s="394">
        <v>0</v>
      </c>
      <c r="Y158" s="394"/>
      <c r="Z158" s="394"/>
      <c r="AA158" s="394"/>
      <c r="AB158" s="394"/>
      <c r="AC158" s="394"/>
      <c r="AD158" s="394"/>
      <c r="AE158" s="394"/>
      <c r="AF158" s="339">
        <f t="shared" si="85"/>
        <v>0</v>
      </c>
      <c r="AG158" s="339">
        <f t="shared" si="86"/>
        <v>0</v>
      </c>
      <c r="AH158" s="394"/>
      <c r="AI158" s="394"/>
      <c r="AJ158" s="394"/>
      <c r="AK158" s="394"/>
      <c r="AL158" s="393"/>
      <c r="AM158" s="400">
        <f t="shared" si="95"/>
        <v>0</v>
      </c>
      <c r="AO158" s="397"/>
      <c r="AP158" s="397"/>
      <c r="AQ158" s="397"/>
      <c r="AR158" s="397"/>
      <c r="AS158" s="397"/>
      <c r="AT158" s="397"/>
      <c r="AU158" s="397"/>
      <c r="AV158" s="397"/>
      <c r="AW158" s="397"/>
    </row>
    <row r="159" spans="1:49" s="396" customFormat="1" ht="27" customHeight="1">
      <c r="A159" s="269" t="s">
        <v>359</v>
      </c>
      <c r="B159" s="270" t="s">
        <v>537</v>
      </c>
      <c r="C159" s="393"/>
      <c r="D159" s="261"/>
      <c r="E159" s="261"/>
      <c r="F159" s="393" t="s">
        <v>975</v>
      </c>
      <c r="G159" s="261"/>
      <c r="H159" s="394">
        <f>H160</f>
        <v>14500</v>
      </c>
      <c r="I159" s="394">
        <f t="shared" ref="I159:AF160" si="100">I160</f>
        <v>14500</v>
      </c>
      <c r="J159" s="394">
        <f t="shared" si="100"/>
        <v>0</v>
      </c>
      <c r="K159" s="394">
        <f t="shared" si="100"/>
        <v>0</v>
      </c>
      <c r="L159" s="394">
        <f t="shared" si="100"/>
        <v>0</v>
      </c>
      <c r="M159" s="394">
        <f t="shared" si="100"/>
        <v>0</v>
      </c>
      <c r="N159" s="394">
        <f t="shared" si="100"/>
        <v>0</v>
      </c>
      <c r="O159" s="394">
        <f t="shared" si="100"/>
        <v>0</v>
      </c>
      <c r="P159" s="394">
        <f t="shared" si="100"/>
        <v>0</v>
      </c>
      <c r="Q159" s="394">
        <f t="shared" si="100"/>
        <v>0</v>
      </c>
      <c r="R159" s="394">
        <f t="shared" si="100"/>
        <v>0</v>
      </c>
      <c r="S159" s="394">
        <f t="shared" si="100"/>
        <v>0</v>
      </c>
      <c r="T159" s="394">
        <f t="shared" si="100"/>
        <v>5506</v>
      </c>
      <c r="U159" s="394">
        <f t="shared" si="100"/>
        <v>0</v>
      </c>
      <c r="V159" s="394">
        <f t="shared" si="100"/>
        <v>0</v>
      </c>
      <c r="W159" s="394">
        <f t="shared" si="100"/>
        <v>0</v>
      </c>
      <c r="X159" s="394">
        <f t="shared" si="100"/>
        <v>1000</v>
      </c>
      <c r="Y159" s="394">
        <f t="shared" si="100"/>
        <v>0</v>
      </c>
      <c r="Z159" s="394">
        <f t="shared" si="100"/>
        <v>0</v>
      </c>
      <c r="AA159" s="394">
        <f t="shared" si="100"/>
        <v>0</v>
      </c>
      <c r="AB159" s="394">
        <f t="shared" si="100"/>
        <v>4000</v>
      </c>
      <c r="AC159" s="394">
        <f t="shared" si="100"/>
        <v>0</v>
      </c>
      <c r="AD159" s="394">
        <f t="shared" si="100"/>
        <v>0</v>
      </c>
      <c r="AE159" s="394">
        <f t="shared" si="100"/>
        <v>0</v>
      </c>
      <c r="AF159" s="394">
        <f t="shared" si="100"/>
        <v>506</v>
      </c>
      <c r="AG159" s="394">
        <f t="shared" ref="AF159:AG160" si="101">AG160</f>
        <v>0</v>
      </c>
      <c r="AH159" s="394">
        <f t="shared" ref="AH159:AK160" si="102">AH160</f>
        <v>4506</v>
      </c>
      <c r="AI159" s="394">
        <f t="shared" si="102"/>
        <v>0</v>
      </c>
      <c r="AJ159" s="394">
        <f t="shared" si="102"/>
        <v>0</v>
      </c>
      <c r="AK159" s="394">
        <f t="shared" si="102"/>
        <v>0</v>
      </c>
      <c r="AL159" s="393"/>
      <c r="AM159" s="400">
        <f t="shared" si="95"/>
        <v>506</v>
      </c>
      <c r="AO159" s="397"/>
      <c r="AP159" s="397"/>
      <c r="AQ159" s="397"/>
      <c r="AR159" s="397"/>
      <c r="AS159" s="397"/>
      <c r="AT159" s="397"/>
      <c r="AU159" s="397"/>
      <c r="AV159" s="397"/>
      <c r="AW159" s="397"/>
    </row>
    <row r="160" spans="1:49" s="414" customFormat="1" ht="52.5" customHeight="1">
      <c r="A160" s="404" t="s">
        <v>120</v>
      </c>
      <c r="B160" s="405" t="s">
        <v>1211</v>
      </c>
      <c r="C160" s="412"/>
      <c r="D160" s="282"/>
      <c r="E160" s="282"/>
      <c r="F160" s="412"/>
      <c r="G160" s="282"/>
      <c r="H160" s="407">
        <f>H161</f>
        <v>14500</v>
      </c>
      <c r="I160" s="407">
        <f t="shared" si="100"/>
        <v>14500</v>
      </c>
      <c r="J160" s="407">
        <f t="shared" si="100"/>
        <v>0</v>
      </c>
      <c r="K160" s="407">
        <f t="shared" si="100"/>
        <v>0</v>
      </c>
      <c r="L160" s="407">
        <f t="shared" si="100"/>
        <v>0</v>
      </c>
      <c r="M160" s="407">
        <f t="shared" si="100"/>
        <v>0</v>
      </c>
      <c r="N160" s="407">
        <f t="shared" si="100"/>
        <v>0</v>
      </c>
      <c r="O160" s="407">
        <f t="shared" si="100"/>
        <v>0</v>
      </c>
      <c r="P160" s="407">
        <f t="shared" si="100"/>
        <v>0</v>
      </c>
      <c r="Q160" s="407">
        <f t="shared" si="100"/>
        <v>0</v>
      </c>
      <c r="R160" s="407">
        <f t="shared" si="100"/>
        <v>0</v>
      </c>
      <c r="S160" s="407">
        <f t="shared" si="100"/>
        <v>0</v>
      </c>
      <c r="T160" s="407">
        <f t="shared" si="100"/>
        <v>5506</v>
      </c>
      <c r="U160" s="407">
        <f t="shared" si="100"/>
        <v>0</v>
      </c>
      <c r="V160" s="407">
        <f t="shared" si="100"/>
        <v>0</v>
      </c>
      <c r="W160" s="407">
        <f t="shared" si="100"/>
        <v>0</v>
      </c>
      <c r="X160" s="407">
        <f t="shared" si="100"/>
        <v>1000</v>
      </c>
      <c r="Y160" s="407">
        <f t="shared" si="100"/>
        <v>0</v>
      </c>
      <c r="Z160" s="407">
        <f t="shared" si="100"/>
        <v>0</v>
      </c>
      <c r="AA160" s="407">
        <f t="shared" si="100"/>
        <v>0</v>
      </c>
      <c r="AB160" s="407">
        <f t="shared" si="100"/>
        <v>4000</v>
      </c>
      <c r="AC160" s="407">
        <f t="shared" si="100"/>
        <v>0</v>
      </c>
      <c r="AD160" s="407">
        <f t="shared" si="100"/>
        <v>0</v>
      </c>
      <c r="AE160" s="407">
        <f t="shared" si="100"/>
        <v>0</v>
      </c>
      <c r="AF160" s="407">
        <f t="shared" si="101"/>
        <v>506</v>
      </c>
      <c r="AG160" s="407">
        <f t="shared" si="101"/>
        <v>0</v>
      </c>
      <c r="AH160" s="407">
        <f t="shared" si="102"/>
        <v>4506</v>
      </c>
      <c r="AI160" s="407">
        <f t="shared" si="102"/>
        <v>0</v>
      </c>
      <c r="AJ160" s="407">
        <f t="shared" si="102"/>
        <v>0</v>
      </c>
      <c r="AK160" s="407">
        <f t="shared" si="102"/>
        <v>0</v>
      </c>
      <c r="AL160" s="412"/>
      <c r="AM160" s="408">
        <f t="shared" si="95"/>
        <v>506</v>
      </c>
      <c r="AO160" s="415"/>
      <c r="AP160" s="415"/>
      <c r="AQ160" s="415"/>
      <c r="AR160" s="415"/>
      <c r="AS160" s="415"/>
      <c r="AT160" s="415"/>
      <c r="AU160" s="415"/>
      <c r="AV160" s="415"/>
      <c r="AW160" s="415"/>
    </row>
    <row r="161" spans="1:49" s="390" customFormat="1" ht="48.75" customHeight="1">
      <c r="A161" s="402" t="s">
        <v>144</v>
      </c>
      <c r="B161" s="399" t="s">
        <v>624</v>
      </c>
      <c r="C161" s="388"/>
      <c r="D161" s="260"/>
      <c r="E161" s="260"/>
      <c r="F161" s="388"/>
      <c r="G161" s="260" t="s">
        <v>1043</v>
      </c>
      <c r="H161" s="339">
        <v>14500</v>
      </c>
      <c r="I161" s="339">
        <v>14500</v>
      </c>
      <c r="J161" s="339"/>
      <c r="K161" s="339"/>
      <c r="L161" s="339"/>
      <c r="M161" s="339"/>
      <c r="N161" s="339"/>
      <c r="O161" s="339"/>
      <c r="P161" s="339"/>
      <c r="Q161" s="339"/>
      <c r="R161" s="339"/>
      <c r="S161" s="339"/>
      <c r="T161" s="339">
        <v>5506</v>
      </c>
      <c r="U161" s="339"/>
      <c r="V161" s="339"/>
      <c r="W161" s="339"/>
      <c r="X161" s="339">
        <v>1000</v>
      </c>
      <c r="Y161" s="339"/>
      <c r="Z161" s="339"/>
      <c r="AA161" s="339"/>
      <c r="AB161" s="339">
        <v>4000</v>
      </c>
      <c r="AC161" s="339"/>
      <c r="AD161" s="339"/>
      <c r="AE161" s="339"/>
      <c r="AF161" s="339">
        <f t="shared" si="85"/>
        <v>506</v>
      </c>
      <c r="AG161" s="339">
        <f t="shared" si="86"/>
        <v>0</v>
      </c>
      <c r="AH161" s="339">
        <v>4506</v>
      </c>
      <c r="AI161" s="339"/>
      <c r="AJ161" s="339"/>
      <c r="AK161" s="339"/>
      <c r="AL161" s="388"/>
      <c r="AM161" s="400">
        <f t="shared" si="95"/>
        <v>506</v>
      </c>
      <c r="AN161" s="411"/>
      <c r="AO161" s="391">
        <v>1</v>
      </c>
      <c r="AP161" s="391"/>
      <c r="AQ161" s="391"/>
      <c r="AR161" s="391"/>
      <c r="AS161" s="391"/>
      <c r="AT161" s="391"/>
      <c r="AU161" s="391"/>
      <c r="AV161" s="391"/>
      <c r="AW161" s="391"/>
    </row>
    <row r="162" spans="1:49" s="396" customFormat="1" ht="24" customHeight="1">
      <c r="A162" s="269" t="s">
        <v>360</v>
      </c>
      <c r="B162" s="270" t="s">
        <v>192</v>
      </c>
      <c r="C162" s="393"/>
      <c r="D162" s="261"/>
      <c r="E162" s="261"/>
      <c r="F162" s="393" t="s">
        <v>975</v>
      </c>
      <c r="G162" s="261"/>
      <c r="H162" s="394">
        <f t="shared" ref="H162:W163" si="103">H163</f>
        <v>14500</v>
      </c>
      <c r="I162" s="394">
        <f t="shared" si="103"/>
        <v>14500</v>
      </c>
      <c r="J162" s="394">
        <f t="shared" si="103"/>
        <v>4000</v>
      </c>
      <c r="K162" s="394">
        <f t="shared" si="103"/>
        <v>4000</v>
      </c>
      <c r="L162" s="394">
        <f t="shared" si="103"/>
        <v>0</v>
      </c>
      <c r="M162" s="394">
        <f t="shared" si="103"/>
        <v>0</v>
      </c>
      <c r="N162" s="394">
        <f t="shared" si="103"/>
        <v>0</v>
      </c>
      <c r="O162" s="394">
        <f t="shared" si="103"/>
        <v>0</v>
      </c>
      <c r="P162" s="394">
        <f t="shared" si="103"/>
        <v>4000</v>
      </c>
      <c r="Q162" s="394">
        <f t="shared" si="103"/>
        <v>4000</v>
      </c>
      <c r="R162" s="394">
        <f t="shared" si="103"/>
        <v>10795</v>
      </c>
      <c r="S162" s="394">
        <f t="shared" si="103"/>
        <v>10795</v>
      </c>
      <c r="T162" s="394">
        <f t="shared" si="103"/>
        <v>11162</v>
      </c>
      <c r="U162" s="394">
        <f t="shared" si="103"/>
        <v>0</v>
      </c>
      <c r="V162" s="394">
        <f t="shared" si="103"/>
        <v>0</v>
      </c>
      <c r="W162" s="394">
        <f t="shared" si="103"/>
        <v>0</v>
      </c>
      <c r="X162" s="394">
        <f t="shared" ref="R162:AG163" si="104">X163</f>
        <v>7795</v>
      </c>
      <c r="Y162" s="394">
        <f t="shared" si="104"/>
        <v>0</v>
      </c>
      <c r="Z162" s="394">
        <f t="shared" si="104"/>
        <v>0</v>
      </c>
      <c r="AA162" s="394">
        <f t="shared" si="104"/>
        <v>0</v>
      </c>
      <c r="AB162" s="394">
        <f t="shared" si="104"/>
        <v>4000</v>
      </c>
      <c r="AC162" s="394">
        <f t="shared" si="104"/>
        <v>0</v>
      </c>
      <c r="AD162" s="394">
        <f t="shared" si="104"/>
        <v>0</v>
      </c>
      <c r="AE162" s="394">
        <f t="shared" si="104"/>
        <v>0</v>
      </c>
      <c r="AF162" s="394">
        <f t="shared" si="104"/>
        <v>0</v>
      </c>
      <c r="AG162" s="394">
        <f t="shared" si="104"/>
        <v>633</v>
      </c>
      <c r="AH162" s="394">
        <f t="shared" ref="AH162:AK163" si="105">AH163</f>
        <v>3367</v>
      </c>
      <c r="AI162" s="394">
        <f t="shared" si="105"/>
        <v>0</v>
      </c>
      <c r="AJ162" s="394">
        <f t="shared" si="105"/>
        <v>0</v>
      </c>
      <c r="AK162" s="394">
        <f t="shared" si="105"/>
        <v>0</v>
      </c>
      <c r="AL162" s="393"/>
      <c r="AM162" s="400">
        <f t="shared" si="95"/>
        <v>-633</v>
      </c>
      <c r="AO162" s="397"/>
      <c r="AP162" s="397"/>
      <c r="AQ162" s="397"/>
      <c r="AR162" s="397"/>
      <c r="AS162" s="397"/>
      <c r="AT162" s="397"/>
      <c r="AU162" s="397"/>
      <c r="AV162" s="397"/>
      <c r="AW162" s="397"/>
    </row>
    <row r="163" spans="1:49" s="409" customFormat="1" ht="34.5">
      <c r="A163" s="404" t="s">
        <v>120</v>
      </c>
      <c r="B163" s="405" t="s">
        <v>1183</v>
      </c>
      <c r="C163" s="406"/>
      <c r="D163" s="282"/>
      <c r="E163" s="282"/>
      <c r="F163" s="406" t="s">
        <v>975</v>
      </c>
      <c r="G163" s="282"/>
      <c r="H163" s="407">
        <f t="shared" si="103"/>
        <v>14500</v>
      </c>
      <c r="I163" s="407">
        <f t="shared" si="103"/>
        <v>14500</v>
      </c>
      <c r="J163" s="407">
        <f t="shared" si="103"/>
        <v>4000</v>
      </c>
      <c r="K163" s="407">
        <f t="shared" si="103"/>
        <v>4000</v>
      </c>
      <c r="L163" s="407">
        <f t="shared" si="103"/>
        <v>0</v>
      </c>
      <c r="M163" s="407">
        <f t="shared" si="103"/>
        <v>0</v>
      </c>
      <c r="N163" s="407">
        <f t="shared" si="103"/>
        <v>0</v>
      </c>
      <c r="O163" s="407">
        <f t="shared" si="103"/>
        <v>0</v>
      </c>
      <c r="P163" s="407">
        <f t="shared" si="103"/>
        <v>4000</v>
      </c>
      <c r="Q163" s="407">
        <f t="shared" si="103"/>
        <v>4000</v>
      </c>
      <c r="R163" s="407">
        <f t="shared" si="104"/>
        <v>10795</v>
      </c>
      <c r="S163" s="407">
        <f t="shared" si="104"/>
        <v>10795</v>
      </c>
      <c r="T163" s="407">
        <f t="shared" si="104"/>
        <v>11162</v>
      </c>
      <c r="U163" s="407">
        <f t="shared" si="104"/>
        <v>0</v>
      </c>
      <c r="V163" s="407">
        <f t="shared" si="104"/>
        <v>0</v>
      </c>
      <c r="W163" s="407">
        <f t="shared" si="104"/>
        <v>0</v>
      </c>
      <c r="X163" s="407">
        <f t="shared" si="104"/>
        <v>7795</v>
      </c>
      <c r="Y163" s="407">
        <f t="shared" si="104"/>
        <v>0</v>
      </c>
      <c r="Z163" s="407">
        <f t="shared" si="104"/>
        <v>0</v>
      </c>
      <c r="AA163" s="407">
        <f t="shared" si="104"/>
        <v>0</v>
      </c>
      <c r="AB163" s="407">
        <f t="shared" si="104"/>
        <v>4000</v>
      </c>
      <c r="AC163" s="407">
        <f t="shared" si="104"/>
        <v>0</v>
      </c>
      <c r="AD163" s="407">
        <f t="shared" si="104"/>
        <v>0</v>
      </c>
      <c r="AE163" s="407">
        <f t="shared" si="104"/>
        <v>0</v>
      </c>
      <c r="AF163" s="407">
        <f t="shared" si="104"/>
        <v>0</v>
      </c>
      <c r="AG163" s="407">
        <f t="shared" si="104"/>
        <v>633</v>
      </c>
      <c r="AH163" s="407">
        <f t="shared" si="105"/>
        <v>3367</v>
      </c>
      <c r="AI163" s="407">
        <f t="shared" si="105"/>
        <v>0</v>
      </c>
      <c r="AJ163" s="407">
        <f t="shared" si="105"/>
        <v>0</v>
      </c>
      <c r="AK163" s="407">
        <f t="shared" si="105"/>
        <v>0</v>
      </c>
      <c r="AL163" s="406"/>
      <c r="AM163" s="400">
        <f t="shared" si="95"/>
        <v>-633</v>
      </c>
      <c r="AO163" s="410"/>
      <c r="AP163" s="410"/>
      <c r="AQ163" s="410"/>
      <c r="AR163" s="410"/>
      <c r="AS163" s="410"/>
      <c r="AT163" s="410"/>
      <c r="AU163" s="410"/>
      <c r="AV163" s="410"/>
      <c r="AW163" s="410"/>
    </row>
    <row r="164" spans="1:49" s="390" customFormat="1" ht="46.15">
      <c r="A164" s="402">
        <v>1</v>
      </c>
      <c r="B164" s="399" t="s">
        <v>538</v>
      </c>
      <c r="C164" s="388" t="s">
        <v>39</v>
      </c>
      <c r="D164" s="260" t="s">
        <v>629</v>
      </c>
      <c r="E164" s="260" t="s">
        <v>767</v>
      </c>
      <c r="F164" s="388" t="s">
        <v>1220</v>
      </c>
      <c r="G164" s="260" t="s">
        <v>768</v>
      </c>
      <c r="H164" s="339">
        <v>14500</v>
      </c>
      <c r="I164" s="339">
        <v>14500</v>
      </c>
      <c r="J164" s="339">
        <v>4000</v>
      </c>
      <c r="K164" s="339">
        <v>4000</v>
      </c>
      <c r="L164" s="339"/>
      <c r="M164" s="339"/>
      <c r="N164" s="339"/>
      <c r="O164" s="339"/>
      <c r="P164" s="339">
        <v>4000</v>
      </c>
      <c r="Q164" s="339">
        <v>4000</v>
      </c>
      <c r="R164" s="339">
        <v>10795</v>
      </c>
      <c r="S164" s="339">
        <v>10795</v>
      </c>
      <c r="T164" s="339">
        <v>11162</v>
      </c>
      <c r="U164" s="339"/>
      <c r="V164" s="339"/>
      <c r="W164" s="339"/>
      <c r="X164" s="339">
        <v>7795</v>
      </c>
      <c r="Y164" s="339"/>
      <c r="Z164" s="339"/>
      <c r="AA164" s="339"/>
      <c r="AB164" s="339">
        <v>4000</v>
      </c>
      <c r="AC164" s="339"/>
      <c r="AD164" s="339"/>
      <c r="AE164" s="339"/>
      <c r="AF164" s="339">
        <f t="shared" si="85"/>
        <v>0</v>
      </c>
      <c r="AG164" s="339">
        <f t="shared" si="86"/>
        <v>633</v>
      </c>
      <c r="AH164" s="339">
        <v>3367</v>
      </c>
      <c r="AI164" s="339"/>
      <c r="AJ164" s="339"/>
      <c r="AK164" s="339"/>
      <c r="AL164" s="388" t="s">
        <v>1099</v>
      </c>
      <c r="AM164" s="400">
        <f t="shared" si="95"/>
        <v>-633</v>
      </c>
      <c r="AO164" s="391"/>
      <c r="AP164" s="391"/>
      <c r="AQ164" s="391">
        <v>1</v>
      </c>
      <c r="AR164" s="391"/>
      <c r="AS164" s="391"/>
      <c r="AT164" s="391"/>
      <c r="AU164" s="391"/>
      <c r="AV164" s="391">
        <v>1</v>
      </c>
      <c r="AW164" s="391" t="s">
        <v>1221</v>
      </c>
    </row>
    <row r="165" spans="1:49" s="396" customFormat="1">
      <c r="A165" s="269" t="s">
        <v>361</v>
      </c>
      <c r="B165" s="270" t="s">
        <v>539</v>
      </c>
      <c r="C165" s="393"/>
      <c r="D165" s="261"/>
      <c r="E165" s="261"/>
      <c r="F165" s="393" t="s">
        <v>975</v>
      </c>
      <c r="G165" s="261"/>
      <c r="H165" s="394"/>
      <c r="I165" s="394"/>
      <c r="J165" s="394"/>
      <c r="K165" s="394"/>
      <c r="L165" s="394"/>
      <c r="M165" s="394"/>
      <c r="N165" s="394"/>
      <c r="O165" s="394"/>
      <c r="P165" s="394"/>
      <c r="Q165" s="394"/>
      <c r="R165" s="394">
        <v>0</v>
      </c>
      <c r="S165" s="394">
        <v>0</v>
      </c>
      <c r="T165" s="394"/>
      <c r="U165" s="394"/>
      <c r="V165" s="394"/>
      <c r="W165" s="394"/>
      <c r="X165" s="394">
        <v>0</v>
      </c>
      <c r="Y165" s="394"/>
      <c r="Z165" s="394"/>
      <c r="AA165" s="394"/>
      <c r="AB165" s="394">
        <v>0</v>
      </c>
      <c r="AC165" s="394"/>
      <c r="AD165" s="394"/>
      <c r="AE165" s="394"/>
      <c r="AF165" s="339">
        <f t="shared" si="85"/>
        <v>0</v>
      </c>
      <c r="AG165" s="339">
        <f t="shared" si="86"/>
        <v>0</v>
      </c>
      <c r="AH165" s="394">
        <v>0</v>
      </c>
      <c r="AI165" s="394"/>
      <c r="AJ165" s="394"/>
      <c r="AK165" s="394"/>
      <c r="AL165" s="393"/>
      <c r="AM165" s="400">
        <f t="shared" si="95"/>
        <v>0</v>
      </c>
      <c r="AO165" s="397"/>
      <c r="AP165" s="397"/>
      <c r="AQ165" s="397"/>
      <c r="AR165" s="397"/>
      <c r="AS165" s="397"/>
      <c r="AT165" s="397"/>
      <c r="AU165" s="397"/>
      <c r="AV165" s="397"/>
      <c r="AW165" s="397"/>
    </row>
    <row r="166" spans="1:49" s="396" customFormat="1">
      <c r="A166" s="269" t="s">
        <v>362</v>
      </c>
      <c r="B166" s="270" t="s">
        <v>540</v>
      </c>
      <c r="C166" s="393"/>
      <c r="D166" s="261"/>
      <c r="E166" s="261"/>
      <c r="F166" s="393" t="s">
        <v>975</v>
      </c>
      <c r="G166" s="261"/>
      <c r="H166" s="394"/>
      <c r="I166" s="394"/>
      <c r="J166" s="394"/>
      <c r="K166" s="394"/>
      <c r="L166" s="394"/>
      <c r="M166" s="394"/>
      <c r="N166" s="394"/>
      <c r="O166" s="394"/>
      <c r="P166" s="394"/>
      <c r="Q166" s="394"/>
      <c r="R166" s="394"/>
      <c r="S166" s="394"/>
      <c r="T166" s="394"/>
      <c r="U166" s="394"/>
      <c r="V166" s="394"/>
      <c r="W166" s="394"/>
      <c r="X166" s="394"/>
      <c r="Y166" s="394"/>
      <c r="Z166" s="394"/>
      <c r="AA166" s="394"/>
      <c r="AB166" s="394"/>
      <c r="AC166" s="394"/>
      <c r="AD166" s="394"/>
      <c r="AE166" s="394"/>
      <c r="AF166" s="339">
        <f t="shared" si="85"/>
        <v>0</v>
      </c>
      <c r="AG166" s="339">
        <f t="shared" si="86"/>
        <v>0</v>
      </c>
      <c r="AH166" s="394"/>
      <c r="AI166" s="394"/>
      <c r="AJ166" s="394"/>
      <c r="AK166" s="394"/>
      <c r="AL166" s="393"/>
      <c r="AM166" s="400">
        <f t="shared" si="95"/>
        <v>0</v>
      </c>
      <c r="AO166" s="397"/>
      <c r="AP166" s="397"/>
      <c r="AQ166" s="397"/>
      <c r="AR166" s="397"/>
      <c r="AS166" s="397"/>
      <c r="AT166" s="397"/>
      <c r="AU166" s="397"/>
      <c r="AV166" s="397"/>
      <c r="AW166" s="397"/>
    </row>
    <row r="167" spans="1:49" s="396" customFormat="1">
      <c r="A167" s="269" t="s">
        <v>543</v>
      </c>
      <c r="B167" s="270" t="s">
        <v>544</v>
      </c>
      <c r="C167" s="393"/>
      <c r="D167" s="261"/>
      <c r="E167" s="261"/>
      <c r="F167" s="393" t="s">
        <v>975</v>
      </c>
      <c r="G167" s="261"/>
      <c r="H167" s="394"/>
      <c r="I167" s="394"/>
      <c r="J167" s="394"/>
      <c r="K167" s="394"/>
      <c r="L167" s="394"/>
      <c r="M167" s="394"/>
      <c r="N167" s="394"/>
      <c r="O167" s="394"/>
      <c r="P167" s="394"/>
      <c r="Q167" s="394"/>
      <c r="R167" s="394">
        <v>0</v>
      </c>
      <c r="S167" s="394">
        <v>0</v>
      </c>
      <c r="T167" s="394"/>
      <c r="U167" s="394"/>
      <c r="V167" s="394"/>
      <c r="W167" s="394"/>
      <c r="X167" s="394">
        <v>0</v>
      </c>
      <c r="Y167" s="394"/>
      <c r="Z167" s="394"/>
      <c r="AA167" s="394"/>
      <c r="AB167" s="394">
        <v>0</v>
      </c>
      <c r="AC167" s="394"/>
      <c r="AD167" s="394"/>
      <c r="AE167" s="394"/>
      <c r="AF167" s="339">
        <f t="shared" si="85"/>
        <v>0</v>
      </c>
      <c r="AG167" s="339">
        <f t="shared" si="86"/>
        <v>0</v>
      </c>
      <c r="AH167" s="394">
        <v>0</v>
      </c>
      <c r="AI167" s="394"/>
      <c r="AJ167" s="394"/>
      <c r="AK167" s="394"/>
      <c r="AL167" s="393"/>
      <c r="AM167" s="400">
        <f t="shared" si="95"/>
        <v>0</v>
      </c>
      <c r="AO167" s="397"/>
      <c r="AP167" s="397"/>
      <c r="AQ167" s="397"/>
      <c r="AR167" s="397"/>
      <c r="AS167" s="397"/>
      <c r="AT167" s="397"/>
      <c r="AU167" s="397"/>
      <c r="AV167" s="397"/>
      <c r="AW167" s="397"/>
    </row>
    <row r="168" spans="1:49" s="396" customFormat="1">
      <c r="A168" s="269" t="s">
        <v>545</v>
      </c>
      <c r="B168" s="270" t="s">
        <v>194</v>
      </c>
      <c r="C168" s="393"/>
      <c r="D168" s="261"/>
      <c r="E168" s="261"/>
      <c r="F168" s="393" t="s">
        <v>975</v>
      </c>
      <c r="G168" s="261"/>
      <c r="H168" s="394">
        <f>H169</f>
        <v>17000</v>
      </c>
      <c r="I168" s="394">
        <f t="shared" ref="I168:AG168" si="106">I169</f>
        <v>17000</v>
      </c>
      <c r="J168" s="394">
        <f t="shared" si="106"/>
        <v>15000</v>
      </c>
      <c r="K168" s="394">
        <f t="shared" si="106"/>
        <v>15000</v>
      </c>
      <c r="L168" s="394">
        <f t="shared" si="106"/>
        <v>3146.5104000000001</v>
      </c>
      <c r="M168" s="394">
        <f t="shared" si="106"/>
        <v>3146.5104000000001</v>
      </c>
      <c r="N168" s="394">
        <f t="shared" si="106"/>
        <v>3146.5104000000001</v>
      </c>
      <c r="O168" s="394">
        <f t="shared" si="106"/>
        <v>3146.5104000000001</v>
      </c>
      <c r="P168" s="394">
        <f t="shared" si="106"/>
        <v>15000</v>
      </c>
      <c r="Q168" s="394">
        <f t="shared" si="106"/>
        <v>15000</v>
      </c>
      <c r="R168" s="394">
        <f t="shared" si="106"/>
        <v>16700</v>
      </c>
      <c r="S168" s="394">
        <f t="shared" si="106"/>
        <v>16700</v>
      </c>
      <c r="T168" s="394">
        <f t="shared" si="106"/>
        <v>16700</v>
      </c>
      <c r="U168" s="394">
        <f t="shared" si="106"/>
        <v>0</v>
      </c>
      <c r="V168" s="394">
        <f t="shared" si="106"/>
        <v>0</v>
      </c>
      <c r="W168" s="394">
        <f t="shared" si="106"/>
        <v>0</v>
      </c>
      <c r="X168" s="394">
        <f t="shared" si="106"/>
        <v>8700</v>
      </c>
      <c r="Y168" s="394">
        <f t="shared" si="106"/>
        <v>0</v>
      </c>
      <c r="Z168" s="394">
        <f t="shared" si="106"/>
        <v>0</v>
      </c>
      <c r="AA168" s="394">
        <f t="shared" si="106"/>
        <v>0</v>
      </c>
      <c r="AB168" s="394">
        <f t="shared" si="106"/>
        <v>8000</v>
      </c>
      <c r="AC168" s="394">
        <f t="shared" si="106"/>
        <v>0</v>
      </c>
      <c r="AD168" s="394">
        <f t="shared" si="106"/>
        <v>0</v>
      </c>
      <c r="AE168" s="394">
        <f t="shared" si="106"/>
        <v>0</v>
      </c>
      <c r="AF168" s="394">
        <f t="shared" si="106"/>
        <v>0</v>
      </c>
      <c r="AG168" s="394">
        <f t="shared" si="106"/>
        <v>0</v>
      </c>
      <c r="AH168" s="394">
        <f t="shared" ref="AH168:AK168" si="107">AH169</f>
        <v>8000</v>
      </c>
      <c r="AI168" s="394">
        <f t="shared" si="107"/>
        <v>0</v>
      </c>
      <c r="AJ168" s="394">
        <f t="shared" si="107"/>
        <v>0</v>
      </c>
      <c r="AK168" s="394">
        <f t="shared" si="107"/>
        <v>0</v>
      </c>
      <c r="AL168" s="393"/>
      <c r="AM168" s="400">
        <f t="shared" si="95"/>
        <v>0</v>
      </c>
      <c r="AO168" s="397"/>
      <c r="AP168" s="397"/>
      <c r="AQ168" s="397"/>
      <c r="AR168" s="397"/>
      <c r="AS168" s="397"/>
      <c r="AT168" s="397"/>
      <c r="AU168" s="397"/>
      <c r="AV168" s="397"/>
      <c r="AW168" s="397"/>
    </row>
    <row r="169" spans="1:49" s="409" customFormat="1" ht="34.5">
      <c r="A169" s="404" t="s">
        <v>120</v>
      </c>
      <c r="B169" s="405" t="s">
        <v>1183</v>
      </c>
      <c r="C169" s="406"/>
      <c r="D169" s="282"/>
      <c r="E169" s="282"/>
      <c r="F169" s="406" t="s">
        <v>975</v>
      </c>
      <c r="G169" s="282"/>
      <c r="H169" s="407">
        <f>SUM(H170:H170)</f>
        <v>17000</v>
      </c>
      <c r="I169" s="407">
        <f t="shared" ref="I169:AG169" si="108">SUM(I170:I170)</f>
        <v>17000</v>
      </c>
      <c r="J169" s="407">
        <f t="shared" si="108"/>
        <v>15000</v>
      </c>
      <c r="K169" s="407">
        <f t="shared" si="108"/>
        <v>15000</v>
      </c>
      <c r="L169" s="407">
        <f t="shared" si="108"/>
        <v>3146.5104000000001</v>
      </c>
      <c r="M169" s="407">
        <f t="shared" si="108"/>
        <v>3146.5104000000001</v>
      </c>
      <c r="N169" s="407">
        <f t="shared" si="108"/>
        <v>3146.5104000000001</v>
      </c>
      <c r="O169" s="407">
        <f t="shared" si="108"/>
        <v>3146.5104000000001</v>
      </c>
      <c r="P169" s="407">
        <f t="shared" si="108"/>
        <v>15000</v>
      </c>
      <c r="Q169" s="407">
        <f t="shared" si="108"/>
        <v>15000</v>
      </c>
      <c r="R169" s="407">
        <f t="shared" si="108"/>
        <v>16700</v>
      </c>
      <c r="S169" s="407">
        <f t="shared" si="108"/>
        <v>16700</v>
      </c>
      <c r="T169" s="407">
        <f t="shared" si="108"/>
        <v>16700</v>
      </c>
      <c r="U169" s="407">
        <f t="shared" si="108"/>
        <v>0</v>
      </c>
      <c r="V169" s="407">
        <f t="shared" si="108"/>
        <v>0</v>
      </c>
      <c r="W169" s="407">
        <f t="shared" si="108"/>
        <v>0</v>
      </c>
      <c r="X169" s="407">
        <f t="shared" si="108"/>
        <v>8700</v>
      </c>
      <c r="Y169" s="407">
        <f t="shared" si="108"/>
        <v>0</v>
      </c>
      <c r="Z169" s="407">
        <f t="shared" si="108"/>
        <v>0</v>
      </c>
      <c r="AA169" s="407">
        <f t="shared" si="108"/>
        <v>0</v>
      </c>
      <c r="AB169" s="407">
        <f t="shared" si="108"/>
        <v>8000</v>
      </c>
      <c r="AC169" s="407">
        <f t="shared" si="108"/>
        <v>0</v>
      </c>
      <c r="AD169" s="407">
        <f t="shared" si="108"/>
        <v>0</v>
      </c>
      <c r="AE169" s="407">
        <f t="shared" si="108"/>
        <v>0</v>
      </c>
      <c r="AF169" s="407">
        <f t="shared" si="108"/>
        <v>0</v>
      </c>
      <c r="AG169" s="407">
        <f t="shared" si="108"/>
        <v>0</v>
      </c>
      <c r="AH169" s="407">
        <f t="shared" ref="AH169:AK169" si="109">SUM(AH170:AH170)</f>
        <v>8000</v>
      </c>
      <c r="AI169" s="407">
        <f t="shared" si="109"/>
        <v>0</v>
      </c>
      <c r="AJ169" s="407">
        <f t="shared" si="109"/>
        <v>0</v>
      </c>
      <c r="AK169" s="407">
        <f t="shared" si="109"/>
        <v>0</v>
      </c>
      <c r="AL169" s="406"/>
      <c r="AM169" s="400">
        <f t="shared" si="95"/>
        <v>0</v>
      </c>
      <c r="AO169" s="410"/>
      <c r="AP169" s="410"/>
      <c r="AQ169" s="410"/>
      <c r="AR169" s="410"/>
      <c r="AS169" s="410"/>
      <c r="AT169" s="410"/>
      <c r="AU169" s="410"/>
      <c r="AV169" s="410"/>
      <c r="AW169" s="410"/>
    </row>
    <row r="170" spans="1:49" s="390" customFormat="1" ht="63" customHeight="1">
      <c r="A170" s="402" t="s">
        <v>144</v>
      </c>
      <c r="B170" s="399" t="s">
        <v>546</v>
      </c>
      <c r="C170" s="388" t="s">
        <v>39</v>
      </c>
      <c r="D170" s="260" t="s">
        <v>229</v>
      </c>
      <c r="E170" s="260"/>
      <c r="F170" s="388" t="s">
        <v>1165</v>
      </c>
      <c r="G170" s="260" t="s">
        <v>771</v>
      </c>
      <c r="H170" s="339">
        <v>17000</v>
      </c>
      <c r="I170" s="339">
        <v>17000</v>
      </c>
      <c r="J170" s="339">
        <v>15000</v>
      </c>
      <c r="K170" s="339">
        <v>15000</v>
      </c>
      <c r="L170" s="339">
        <v>3146.5104000000001</v>
      </c>
      <c r="M170" s="339">
        <v>3146.5104000000001</v>
      </c>
      <c r="N170" s="339">
        <v>3146.5104000000001</v>
      </c>
      <c r="O170" s="339">
        <v>3146.5104000000001</v>
      </c>
      <c r="P170" s="339">
        <v>15000</v>
      </c>
      <c r="Q170" s="339">
        <v>15000</v>
      </c>
      <c r="R170" s="339">
        <v>16700</v>
      </c>
      <c r="S170" s="339">
        <v>16700</v>
      </c>
      <c r="T170" s="339">
        <v>16700</v>
      </c>
      <c r="U170" s="339"/>
      <c r="V170" s="339"/>
      <c r="W170" s="339"/>
      <c r="X170" s="339">
        <v>8700</v>
      </c>
      <c r="Y170" s="339"/>
      <c r="Z170" s="339"/>
      <c r="AA170" s="339"/>
      <c r="AB170" s="339">
        <v>8000</v>
      </c>
      <c r="AC170" s="339"/>
      <c r="AD170" s="339"/>
      <c r="AE170" s="339"/>
      <c r="AF170" s="339">
        <f t="shared" si="85"/>
        <v>0</v>
      </c>
      <c r="AG170" s="339">
        <f t="shared" si="86"/>
        <v>0</v>
      </c>
      <c r="AH170" s="339">
        <v>8000</v>
      </c>
      <c r="AI170" s="339"/>
      <c r="AJ170" s="339"/>
      <c r="AK170" s="339"/>
      <c r="AL170" s="388"/>
      <c r="AM170" s="400">
        <f t="shared" si="95"/>
        <v>0</v>
      </c>
      <c r="AO170" s="391"/>
      <c r="AP170" s="391"/>
      <c r="AQ170" s="391">
        <v>1</v>
      </c>
      <c r="AR170" s="391"/>
      <c r="AS170" s="391"/>
      <c r="AT170" s="391"/>
      <c r="AU170" s="391"/>
      <c r="AV170" s="391">
        <v>1</v>
      </c>
      <c r="AW170" s="391" t="s">
        <v>1222</v>
      </c>
    </row>
    <row r="171" spans="1:49" s="396" customFormat="1">
      <c r="A171" s="269" t="s">
        <v>549</v>
      </c>
      <c r="B171" s="270" t="s">
        <v>197</v>
      </c>
      <c r="C171" s="393"/>
      <c r="D171" s="261"/>
      <c r="E171" s="261"/>
      <c r="F171" s="393" t="s">
        <v>975</v>
      </c>
      <c r="G171" s="261"/>
      <c r="H171" s="394">
        <f>H172</f>
        <v>460.4</v>
      </c>
      <c r="I171" s="394">
        <f t="shared" ref="I171:AK171" si="110">I172</f>
        <v>460.4</v>
      </c>
      <c r="J171" s="394">
        <f t="shared" si="110"/>
        <v>0</v>
      </c>
      <c r="K171" s="394">
        <f t="shared" si="110"/>
        <v>0</v>
      </c>
      <c r="L171" s="394">
        <f t="shared" si="110"/>
        <v>0</v>
      </c>
      <c r="M171" s="394">
        <f t="shared" si="110"/>
        <v>0</v>
      </c>
      <c r="N171" s="394">
        <f t="shared" si="110"/>
        <v>0</v>
      </c>
      <c r="O171" s="394">
        <f t="shared" si="110"/>
        <v>0</v>
      </c>
      <c r="P171" s="394">
        <f t="shared" si="110"/>
        <v>0</v>
      </c>
      <c r="Q171" s="394">
        <f t="shared" si="110"/>
        <v>0</v>
      </c>
      <c r="R171" s="394">
        <f t="shared" si="110"/>
        <v>0</v>
      </c>
      <c r="S171" s="394">
        <f t="shared" si="110"/>
        <v>0</v>
      </c>
      <c r="T171" s="394">
        <f t="shared" si="110"/>
        <v>486</v>
      </c>
      <c r="U171" s="394">
        <f t="shared" si="110"/>
        <v>0</v>
      </c>
      <c r="V171" s="394">
        <f t="shared" si="110"/>
        <v>0</v>
      </c>
      <c r="W171" s="394">
        <f t="shared" si="110"/>
        <v>0</v>
      </c>
      <c r="X171" s="394">
        <f t="shared" si="110"/>
        <v>450</v>
      </c>
      <c r="Y171" s="394">
        <f t="shared" si="110"/>
        <v>0</v>
      </c>
      <c r="Z171" s="394">
        <f t="shared" si="110"/>
        <v>0</v>
      </c>
      <c r="AA171" s="394">
        <f t="shared" si="110"/>
        <v>0</v>
      </c>
      <c r="AB171" s="394">
        <f t="shared" si="110"/>
        <v>0</v>
      </c>
      <c r="AC171" s="394">
        <f t="shared" si="110"/>
        <v>0</v>
      </c>
      <c r="AD171" s="394">
        <f t="shared" si="110"/>
        <v>0</v>
      </c>
      <c r="AE171" s="394">
        <f t="shared" si="110"/>
        <v>0</v>
      </c>
      <c r="AF171" s="394">
        <f t="shared" si="110"/>
        <v>36</v>
      </c>
      <c r="AG171" s="394">
        <f t="shared" si="110"/>
        <v>0</v>
      </c>
      <c r="AH171" s="394">
        <f t="shared" si="110"/>
        <v>36</v>
      </c>
      <c r="AI171" s="394">
        <f t="shared" si="110"/>
        <v>0</v>
      </c>
      <c r="AJ171" s="394">
        <f t="shared" si="110"/>
        <v>0</v>
      </c>
      <c r="AK171" s="394">
        <f t="shared" si="110"/>
        <v>0</v>
      </c>
      <c r="AL171" s="393"/>
      <c r="AM171" s="400">
        <f t="shared" si="95"/>
        <v>36</v>
      </c>
      <c r="AO171" s="397"/>
      <c r="AP171" s="397"/>
      <c r="AQ171" s="397"/>
      <c r="AR171" s="397"/>
      <c r="AS171" s="397"/>
      <c r="AT171" s="397"/>
      <c r="AU171" s="397"/>
      <c r="AV171" s="397"/>
      <c r="AW171" s="397"/>
    </row>
    <row r="172" spans="1:49" s="390" customFormat="1" ht="79.5" customHeight="1">
      <c r="A172" s="402" t="s">
        <v>144</v>
      </c>
      <c r="B172" s="399" t="s">
        <v>550</v>
      </c>
      <c r="C172" s="388"/>
      <c r="D172" s="260"/>
      <c r="E172" s="260"/>
      <c r="F172" s="388"/>
      <c r="G172" s="260" t="s">
        <v>773</v>
      </c>
      <c r="H172" s="339">
        <v>460.4</v>
      </c>
      <c r="I172" s="339">
        <v>460.4</v>
      </c>
      <c r="J172" s="339"/>
      <c r="K172" s="339"/>
      <c r="L172" s="339"/>
      <c r="M172" s="339"/>
      <c r="N172" s="339"/>
      <c r="O172" s="339"/>
      <c r="P172" s="339"/>
      <c r="Q172" s="339"/>
      <c r="R172" s="339"/>
      <c r="S172" s="339"/>
      <c r="T172" s="339">
        <v>486</v>
      </c>
      <c r="U172" s="339"/>
      <c r="V172" s="339"/>
      <c r="W172" s="339"/>
      <c r="X172" s="339">
        <v>450</v>
      </c>
      <c r="Y172" s="339"/>
      <c r="Z172" s="339"/>
      <c r="AA172" s="339"/>
      <c r="AB172" s="339"/>
      <c r="AC172" s="339"/>
      <c r="AD172" s="339"/>
      <c r="AE172" s="339"/>
      <c r="AF172" s="339">
        <f t="shared" ref="AF172" si="111">IF(AH172&gt;AB172,AH172-AB172,0)</f>
        <v>36</v>
      </c>
      <c r="AG172" s="339">
        <f t="shared" ref="AG172" si="112">IF(AB172&gt;AH172,AB172-AH172,0)</f>
        <v>0</v>
      </c>
      <c r="AH172" s="339">
        <v>36</v>
      </c>
      <c r="AI172" s="339"/>
      <c r="AJ172" s="339"/>
      <c r="AK172" s="339"/>
      <c r="AL172" s="388" t="s">
        <v>1091</v>
      </c>
      <c r="AM172" s="400"/>
      <c r="AO172" s="391"/>
      <c r="AP172" s="391"/>
      <c r="AQ172" s="391"/>
      <c r="AR172" s="391"/>
      <c r="AS172" s="391"/>
      <c r="AT172" s="391"/>
      <c r="AU172" s="391"/>
      <c r="AV172" s="391"/>
      <c r="AW172" s="391"/>
    </row>
    <row r="173" spans="1:49" s="396" customFormat="1" ht="48" customHeight="1">
      <c r="A173" s="269" t="s">
        <v>551</v>
      </c>
      <c r="B173" s="270" t="s">
        <v>1223</v>
      </c>
      <c r="C173" s="393"/>
      <c r="D173" s="261"/>
      <c r="E173" s="261"/>
      <c r="F173" s="393" t="s">
        <v>975</v>
      </c>
      <c r="G173" s="261"/>
      <c r="H173" s="394">
        <f t="shared" ref="H173:AE173" si="113">H174+H179</f>
        <v>147490</v>
      </c>
      <c r="I173" s="394">
        <f t="shared" si="113"/>
        <v>122640</v>
      </c>
      <c r="J173" s="394">
        <f t="shared" si="113"/>
        <v>27000</v>
      </c>
      <c r="K173" s="394">
        <f t="shared" si="113"/>
        <v>27000</v>
      </c>
      <c r="L173" s="394">
        <f t="shared" si="113"/>
        <v>15582.647000000001</v>
      </c>
      <c r="M173" s="394">
        <f t="shared" si="113"/>
        <v>15582.647000000001</v>
      </c>
      <c r="N173" s="394">
        <f t="shared" si="113"/>
        <v>16766.71</v>
      </c>
      <c r="O173" s="394">
        <f t="shared" si="113"/>
        <v>16766.71</v>
      </c>
      <c r="P173" s="394">
        <f t="shared" si="113"/>
        <v>27000</v>
      </c>
      <c r="Q173" s="394">
        <f t="shared" si="113"/>
        <v>27000</v>
      </c>
      <c r="R173" s="394">
        <f t="shared" si="113"/>
        <v>49700</v>
      </c>
      <c r="S173" s="394">
        <f t="shared" si="113"/>
        <v>49700</v>
      </c>
      <c r="T173" s="394">
        <f t="shared" si="113"/>
        <v>77940</v>
      </c>
      <c r="U173" s="394">
        <f t="shared" si="113"/>
        <v>0</v>
      </c>
      <c r="V173" s="394">
        <f t="shared" si="113"/>
        <v>0</v>
      </c>
      <c r="W173" s="394">
        <f t="shared" si="113"/>
        <v>0</v>
      </c>
      <c r="X173" s="394">
        <f t="shared" si="113"/>
        <v>53000</v>
      </c>
      <c r="Y173" s="394">
        <f t="shared" si="113"/>
        <v>0</v>
      </c>
      <c r="Z173" s="394">
        <f t="shared" si="113"/>
        <v>0</v>
      </c>
      <c r="AA173" s="394">
        <f t="shared" si="113"/>
        <v>0</v>
      </c>
      <c r="AB173" s="394">
        <f t="shared" si="113"/>
        <v>24940</v>
      </c>
      <c r="AC173" s="394">
        <f t="shared" si="113"/>
        <v>0</v>
      </c>
      <c r="AD173" s="394">
        <f t="shared" si="113"/>
        <v>0</v>
      </c>
      <c r="AE173" s="394">
        <f t="shared" si="113"/>
        <v>0</v>
      </c>
      <c r="AF173" s="394">
        <f t="shared" ref="AF173:AG173" si="114">AF174+AF179</f>
        <v>0</v>
      </c>
      <c r="AG173" s="394">
        <f t="shared" si="114"/>
        <v>0</v>
      </c>
      <c r="AH173" s="394">
        <f t="shared" ref="AH173:AK173" si="115">AH174+AH179</f>
        <v>24940</v>
      </c>
      <c r="AI173" s="394">
        <f t="shared" si="115"/>
        <v>0</v>
      </c>
      <c r="AJ173" s="394">
        <f t="shared" si="115"/>
        <v>0</v>
      </c>
      <c r="AK173" s="394">
        <f t="shared" si="115"/>
        <v>0</v>
      </c>
      <c r="AL173" s="393"/>
      <c r="AM173" s="400">
        <f t="shared" si="95"/>
        <v>0</v>
      </c>
      <c r="AO173" s="397"/>
      <c r="AP173" s="397"/>
      <c r="AQ173" s="397"/>
      <c r="AR173" s="397"/>
      <c r="AS173" s="397"/>
      <c r="AT173" s="397"/>
      <c r="AU173" s="397"/>
      <c r="AV173" s="397"/>
      <c r="AW173" s="397"/>
    </row>
    <row r="174" spans="1:49" s="414" customFormat="1" ht="48" customHeight="1">
      <c r="A174" s="404" t="s">
        <v>120</v>
      </c>
      <c r="B174" s="405" t="s">
        <v>1183</v>
      </c>
      <c r="C174" s="412"/>
      <c r="D174" s="282"/>
      <c r="E174" s="282"/>
      <c r="F174" s="412" t="s">
        <v>975</v>
      </c>
      <c r="G174" s="282"/>
      <c r="H174" s="407">
        <f t="shared" ref="H174:AE174" si="116">SUM(H175:H178)</f>
        <v>102500</v>
      </c>
      <c r="I174" s="407">
        <f t="shared" si="116"/>
        <v>87640</v>
      </c>
      <c r="J174" s="407">
        <f t="shared" si="116"/>
        <v>27000</v>
      </c>
      <c r="K174" s="407">
        <f t="shared" si="116"/>
        <v>27000</v>
      </c>
      <c r="L174" s="407">
        <f t="shared" si="116"/>
        <v>15582.647000000001</v>
      </c>
      <c r="M174" s="407">
        <f t="shared" si="116"/>
        <v>15582.647000000001</v>
      </c>
      <c r="N174" s="407">
        <f t="shared" si="116"/>
        <v>16766.71</v>
      </c>
      <c r="O174" s="407">
        <f t="shared" si="116"/>
        <v>16766.71</v>
      </c>
      <c r="P174" s="407">
        <f t="shared" si="116"/>
        <v>27000</v>
      </c>
      <c r="Q174" s="407">
        <f t="shared" si="116"/>
        <v>27000</v>
      </c>
      <c r="R174" s="407">
        <f t="shared" si="116"/>
        <v>49700</v>
      </c>
      <c r="S174" s="407">
        <f t="shared" si="116"/>
        <v>49700</v>
      </c>
      <c r="T174" s="407">
        <f t="shared" si="116"/>
        <v>77940</v>
      </c>
      <c r="U174" s="407">
        <f t="shared" si="116"/>
        <v>0</v>
      </c>
      <c r="V174" s="407">
        <f t="shared" si="116"/>
        <v>0</v>
      </c>
      <c r="W174" s="407">
        <f t="shared" si="116"/>
        <v>0</v>
      </c>
      <c r="X174" s="407">
        <f t="shared" si="116"/>
        <v>53000</v>
      </c>
      <c r="Y174" s="407">
        <f t="shared" si="116"/>
        <v>0</v>
      </c>
      <c r="Z174" s="407">
        <f t="shared" si="116"/>
        <v>0</v>
      </c>
      <c r="AA174" s="407">
        <f t="shared" si="116"/>
        <v>0</v>
      </c>
      <c r="AB174" s="407">
        <f t="shared" si="116"/>
        <v>24940</v>
      </c>
      <c r="AC174" s="407">
        <f t="shared" si="116"/>
        <v>0</v>
      </c>
      <c r="AD174" s="407">
        <f t="shared" si="116"/>
        <v>0</v>
      </c>
      <c r="AE174" s="407">
        <f t="shared" si="116"/>
        <v>0</v>
      </c>
      <c r="AF174" s="407">
        <f t="shared" ref="AF174:AG174" si="117">SUM(AF175:AF178)</f>
        <v>0</v>
      </c>
      <c r="AG174" s="407">
        <f t="shared" si="117"/>
        <v>0</v>
      </c>
      <c r="AH174" s="407">
        <f t="shared" ref="AH174:AK174" si="118">SUM(AH175:AH178)</f>
        <v>24940</v>
      </c>
      <c r="AI174" s="407">
        <f t="shared" si="118"/>
        <v>0</v>
      </c>
      <c r="AJ174" s="407">
        <f t="shared" si="118"/>
        <v>0</v>
      </c>
      <c r="AK174" s="407">
        <f t="shared" si="118"/>
        <v>0</v>
      </c>
      <c r="AL174" s="412"/>
      <c r="AM174" s="400">
        <f t="shared" si="95"/>
        <v>0</v>
      </c>
      <c r="AO174" s="415"/>
      <c r="AP174" s="415"/>
      <c r="AQ174" s="415"/>
      <c r="AR174" s="415"/>
      <c r="AS174" s="415"/>
      <c r="AT174" s="415"/>
      <c r="AU174" s="415"/>
      <c r="AV174" s="415"/>
      <c r="AW174" s="415"/>
    </row>
    <row r="175" spans="1:49" s="390" customFormat="1" ht="71.25" customHeight="1">
      <c r="A175" s="402">
        <v>1</v>
      </c>
      <c r="B175" s="399" t="s">
        <v>552</v>
      </c>
      <c r="C175" s="388" t="s">
        <v>39</v>
      </c>
      <c r="D175" s="260" t="s">
        <v>230</v>
      </c>
      <c r="E175" s="260" t="s">
        <v>775</v>
      </c>
      <c r="F175" s="388" t="s">
        <v>975</v>
      </c>
      <c r="G175" s="260" t="s">
        <v>1224</v>
      </c>
      <c r="H175" s="339">
        <v>39800</v>
      </c>
      <c r="I175" s="339">
        <v>39800</v>
      </c>
      <c r="J175" s="403">
        <v>10000</v>
      </c>
      <c r="K175" s="403">
        <v>10000</v>
      </c>
      <c r="L175" s="339">
        <v>9500</v>
      </c>
      <c r="M175" s="339">
        <v>9500</v>
      </c>
      <c r="N175" s="339">
        <v>9654.7189999999991</v>
      </c>
      <c r="O175" s="339">
        <v>9654.7189999999991</v>
      </c>
      <c r="P175" s="403">
        <v>10000</v>
      </c>
      <c r="Q175" s="403">
        <v>10000</v>
      </c>
      <c r="R175" s="339">
        <v>10200</v>
      </c>
      <c r="S175" s="339">
        <v>10200</v>
      </c>
      <c r="T175" s="339">
        <v>30600</v>
      </c>
      <c r="U175" s="339"/>
      <c r="V175" s="339"/>
      <c r="W175" s="339"/>
      <c r="X175" s="339">
        <v>12000</v>
      </c>
      <c r="Y175" s="339"/>
      <c r="Z175" s="339"/>
      <c r="AA175" s="339"/>
      <c r="AB175" s="339">
        <v>18600</v>
      </c>
      <c r="AC175" s="339"/>
      <c r="AD175" s="339"/>
      <c r="AE175" s="339"/>
      <c r="AF175" s="339">
        <f t="shared" si="85"/>
        <v>0</v>
      </c>
      <c r="AG175" s="339">
        <f t="shared" si="86"/>
        <v>0</v>
      </c>
      <c r="AH175" s="339">
        <v>18600</v>
      </c>
      <c r="AI175" s="339"/>
      <c r="AJ175" s="339"/>
      <c r="AK175" s="339"/>
      <c r="AL175" s="388"/>
      <c r="AM175" s="400">
        <f t="shared" si="95"/>
        <v>0</v>
      </c>
      <c r="AO175" s="391"/>
      <c r="AP175" s="391"/>
      <c r="AQ175" s="391">
        <v>1</v>
      </c>
      <c r="AR175" s="391"/>
      <c r="AS175" s="391"/>
      <c r="AT175" s="391"/>
      <c r="AU175" s="391"/>
      <c r="AV175" s="391">
        <v>1</v>
      </c>
      <c r="AW175" s="391" t="s">
        <v>1167</v>
      </c>
    </row>
    <row r="176" spans="1:49" s="390" customFormat="1" ht="78" customHeight="1">
      <c r="A176" s="402">
        <v>2</v>
      </c>
      <c r="B176" s="399" t="s">
        <v>554</v>
      </c>
      <c r="C176" s="388" t="s">
        <v>39</v>
      </c>
      <c r="D176" s="294" t="s">
        <v>632</v>
      </c>
      <c r="E176" s="260" t="s">
        <v>777</v>
      </c>
      <c r="F176" s="388" t="s">
        <v>1220</v>
      </c>
      <c r="G176" s="260" t="s">
        <v>778</v>
      </c>
      <c r="H176" s="185">
        <v>39800</v>
      </c>
      <c r="I176" s="185">
        <f>H176*0.8</f>
        <v>31840</v>
      </c>
      <c r="J176" s="403">
        <v>11000</v>
      </c>
      <c r="K176" s="403">
        <v>11000</v>
      </c>
      <c r="L176" s="339">
        <v>6082.6469999999999</v>
      </c>
      <c r="M176" s="339">
        <v>6082.6469999999999</v>
      </c>
      <c r="N176" s="339">
        <v>6082.6469999999999</v>
      </c>
      <c r="O176" s="339">
        <v>6082.6469999999999</v>
      </c>
      <c r="P176" s="403">
        <v>11000</v>
      </c>
      <c r="Q176" s="403">
        <v>11000</v>
      </c>
      <c r="R176" s="339">
        <v>31200</v>
      </c>
      <c r="S176" s="339">
        <v>31200</v>
      </c>
      <c r="T176" s="339">
        <v>31640</v>
      </c>
      <c r="U176" s="339"/>
      <c r="V176" s="339"/>
      <c r="W176" s="339"/>
      <c r="X176" s="339">
        <v>31000</v>
      </c>
      <c r="Y176" s="339"/>
      <c r="Z176" s="339"/>
      <c r="AA176" s="339"/>
      <c r="AB176" s="339">
        <v>640</v>
      </c>
      <c r="AC176" s="339"/>
      <c r="AD176" s="339"/>
      <c r="AE176" s="339"/>
      <c r="AF176" s="339">
        <f t="shared" si="85"/>
        <v>0</v>
      </c>
      <c r="AG176" s="339">
        <f t="shared" si="86"/>
        <v>0</v>
      </c>
      <c r="AH176" s="339">
        <v>640</v>
      </c>
      <c r="AI176" s="339"/>
      <c r="AJ176" s="339"/>
      <c r="AK176" s="339"/>
      <c r="AL176" s="388"/>
      <c r="AM176" s="400">
        <f t="shared" si="95"/>
        <v>0</v>
      </c>
      <c r="AO176" s="391"/>
      <c r="AP176" s="391"/>
      <c r="AQ176" s="391">
        <v>1</v>
      </c>
      <c r="AR176" s="391"/>
      <c r="AS176" s="391"/>
      <c r="AT176" s="391"/>
      <c r="AU176" s="391"/>
      <c r="AV176" s="391">
        <v>1</v>
      </c>
      <c r="AW176" s="391" t="s">
        <v>1167</v>
      </c>
    </row>
    <row r="177" spans="1:49" s="390" customFormat="1" ht="78" customHeight="1">
      <c r="A177" s="402">
        <v>3</v>
      </c>
      <c r="B177" s="399" t="s">
        <v>555</v>
      </c>
      <c r="C177" s="388" t="s">
        <v>39</v>
      </c>
      <c r="D177" s="294" t="s">
        <v>229</v>
      </c>
      <c r="E177" s="294" t="s">
        <v>779</v>
      </c>
      <c r="F177" s="388" t="s">
        <v>1165</v>
      </c>
      <c r="G177" s="260" t="s">
        <v>1225</v>
      </c>
      <c r="H177" s="185">
        <v>14900</v>
      </c>
      <c r="I177" s="185">
        <v>10000</v>
      </c>
      <c r="J177" s="186">
        <v>4000</v>
      </c>
      <c r="K177" s="186">
        <v>4000</v>
      </c>
      <c r="L177" s="339"/>
      <c r="M177" s="339"/>
      <c r="N177" s="339"/>
      <c r="O177" s="339"/>
      <c r="P177" s="186">
        <v>4000</v>
      </c>
      <c r="Q177" s="186">
        <v>4000</v>
      </c>
      <c r="R177" s="339">
        <v>6200</v>
      </c>
      <c r="S177" s="339">
        <v>6200</v>
      </c>
      <c r="T177" s="339">
        <v>9800</v>
      </c>
      <c r="U177" s="339"/>
      <c r="V177" s="339"/>
      <c r="W177" s="339"/>
      <c r="X177" s="339">
        <v>6000</v>
      </c>
      <c r="Y177" s="339"/>
      <c r="Z177" s="339"/>
      <c r="AA177" s="339"/>
      <c r="AB177" s="339">
        <v>3800</v>
      </c>
      <c r="AC177" s="339"/>
      <c r="AD177" s="339"/>
      <c r="AE177" s="339"/>
      <c r="AF177" s="339">
        <f t="shared" si="85"/>
        <v>0</v>
      </c>
      <c r="AG177" s="339">
        <f t="shared" si="86"/>
        <v>0</v>
      </c>
      <c r="AH177" s="339">
        <v>3800</v>
      </c>
      <c r="AI177" s="339"/>
      <c r="AJ177" s="339"/>
      <c r="AK177" s="339"/>
      <c r="AL177" s="388"/>
      <c r="AM177" s="400">
        <f t="shared" si="95"/>
        <v>0</v>
      </c>
      <c r="AO177" s="391"/>
      <c r="AP177" s="391"/>
      <c r="AQ177" s="391">
        <v>1</v>
      </c>
      <c r="AR177" s="391"/>
      <c r="AS177" s="391"/>
      <c r="AT177" s="391"/>
      <c r="AU177" s="391"/>
      <c r="AV177" s="391">
        <v>1</v>
      </c>
      <c r="AW177" s="391" t="s">
        <v>1167</v>
      </c>
    </row>
    <row r="178" spans="1:49" s="390" customFormat="1" ht="93.75" customHeight="1">
      <c r="A178" s="402">
        <v>4</v>
      </c>
      <c r="B178" s="399" t="s">
        <v>556</v>
      </c>
      <c r="C178" s="388" t="s">
        <v>39</v>
      </c>
      <c r="D178" s="294" t="s">
        <v>229</v>
      </c>
      <c r="E178" s="294" t="s">
        <v>780</v>
      </c>
      <c r="F178" s="388" t="s">
        <v>1165</v>
      </c>
      <c r="G178" s="260" t="s">
        <v>781</v>
      </c>
      <c r="H178" s="185">
        <v>8000</v>
      </c>
      <c r="I178" s="185">
        <v>6000</v>
      </c>
      <c r="J178" s="186">
        <v>2000</v>
      </c>
      <c r="K178" s="186">
        <v>2000</v>
      </c>
      <c r="L178" s="339"/>
      <c r="M178" s="339"/>
      <c r="N178" s="339">
        <v>1029.3440000000001</v>
      </c>
      <c r="O178" s="339">
        <v>1029.3440000000001</v>
      </c>
      <c r="P178" s="186">
        <v>2000</v>
      </c>
      <c r="Q178" s="186">
        <v>2000</v>
      </c>
      <c r="R178" s="339">
        <v>2100</v>
      </c>
      <c r="S178" s="339">
        <v>2100</v>
      </c>
      <c r="T178" s="339">
        <v>5900</v>
      </c>
      <c r="U178" s="339"/>
      <c r="V178" s="339"/>
      <c r="W178" s="339"/>
      <c r="X178" s="339">
        <v>4000</v>
      </c>
      <c r="Y178" s="339"/>
      <c r="Z178" s="339"/>
      <c r="AA178" s="339"/>
      <c r="AB178" s="339">
        <v>1900</v>
      </c>
      <c r="AC178" s="339"/>
      <c r="AD178" s="339"/>
      <c r="AE178" s="339"/>
      <c r="AF178" s="339">
        <f t="shared" si="85"/>
        <v>0</v>
      </c>
      <c r="AG178" s="339">
        <f t="shared" si="86"/>
        <v>0</v>
      </c>
      <c r="AH178" s="339">
        <v>1900</v>
      </c>
      <c r="AI178" s="339"/>
      <c r="AJ178" s="339"/>
      <c r="AK178" s="339"/>
      <c r="AL178" s="388"/>
      <c r="AM178" s="400">
        <f t="shared" si="95"/>
        <v>0</v>
      </c>
      <c r="AO178" s="391"/>
      <c r="AP178" s="391"/>
      <c r="AQ178" s="391">
        <v>1</v>
      </c>
      <c r="AR178" s="391"/>
      <c r="AS178" s="391"/>
      <c r="AT178" s="391"/>
      <c r="AU178" s="391"/>
      <c r="AV178" s="391">
        <v>1</v>
      </c>
      <c r="AW178" s="391" t="s">
        <v>1167</v>
      </c>
    </row>
    <row r="179" spans="1:49" s="414" customFormat="1">
      <c r="A179" s="404" t="s">
        <v>122</v>
      </c>
      <c r="B179" s="405" t="s">
        <v>1192</v>
      </c>
      <c r="C179" s="412"/>
      <c r="D179" s="282"/>
      <c r="E179" s="282"/>
      <c r="F179" s="412"/>
      <c r="G179" s="282"/>
      <c r="H179" s="407">
        <f>SUM(H180:H181)</f>
        <v>44990</v>
      </c>
      <c r="I179" s="407">
        <f t="shared" ref="I179:AG179" si="119">SUM(I180:I181)</f>
        <v>35000</v>
      </c>
      <c r="J179" s="407">
        <f t="shared" si="119"/>
        <v>0</v>
      </c>
      <c r="K179" s="407">
        <f t="shared" si="119"/>
        <v>0</v>
      </c>
      <c r="L179" s="407">
        <f t="shared" si="119"/>
        <v>0</v>
      </c>
      <c r="M179" s="407">
        <f t="shared" si="119"/>
        <v>0</v>
      </c>
      <c r="N179" s="407">
        <f t="shared" si="119"/>
        <v>0</v>
      </c>
      <c r="O179" s="407">
        <f t="shared" si="119"/>
        <v>0</v>
      </c>
      <c r="P179" s="407">
        <f t="shared" si="119"/>
        <v>0</v>
      </c>
      <c r="Q179" s="407">
        <f t="shared" si="119"/>
        <v>0</v>
      </c>
      <c r="R179" s="407">
        <f t="shared" si="119"/>
        <v>0</v>
      </c>
      <c r="S179" s="407">
        <f t="shared" si="119"/>
        <v>0</v>
      </c>
      <c r="T179" s="407">
        <f t="shared" si="119"/>
        <v>0</v>
      </c>
      <c r="U179" s="407">
        <f t="shared" si="119"/>
        <v>0</v>
      </c>
      <c r="V179" s="407">
        <f t="shared" si="119"/>
        <v>0</v>
      </c>
      <c r="W179" s="407">
        <f t="shared" si="119"/>
        <v>0</v>
      </c>
      <c r="X179" s="407">
        <f t="shared" si="119"/>
        <v>0</v>
      </c>
      <c r="Y179" s="407">
        <f t="shared" si="119"/>
        <v>0</v>
      </c>
      <c r="Z179" s="407">
        <f t="shared" si="119"/>
        <v>0</v>
      </c>
      <c r="AA179" s="407">
        <f t="shared" si="119"/>
        <v>0</v>
      </c>
      <c r="AB179" s="407">
        <f t="shared" si="119"/>
        <v>0</v>
      </c>
      <c r="AC179" s="407">
        <f t="shared" si="119"/>
        <v>0</v>
      </c>
      <c r="AD179" s="407">
        <f t="shared" si="119"/>
        <v>0</v>
      </c>
      <c r="AE179" s="407">
        <f t="shared" si="119"/>
        <v>0</v>
      </c>
      <c r="AF179" s="407">
        <f t="shared" si="119"/>
        <v>0</v>
      </c>
      <c r="AG179" s="407">
        <f t="shared" si="119"/>
        <v>0</v>
      </c>
      <c r="AH179" s="407">
        <f t="shared" ref="AH179:AK179" si="120">SUM(AH180:AH181)</f>
        <v>0</v>
      </c>
      <c r="AI179" s="407">
        <f t="shared" si="120"/>
        <v>0</v>
      </c>
      <c r="AJ179" s="407">
        <f t="shared" si="120"/>
        <v>0</v>
      </c>
      <c r="AK179" s="407">
        <f t="shared" si="120"/>
        <v>0</v>
      </c>
      <c r="AL179" s="412"/>
      <c r="AM179" s="400">
        <f t="shared" si="95"/>
        <v>0</v>
      </c>
      <c r="AO179" s="415"/>
      <c r="AP179" s="415"/>
      <c r="AQ179" s="415"/>
      <c r="AR179" s="415"/>
      <c r="AS179" s="415"/>
      <c r="AT179" s="415"/>
      <c r="AU179" s="415"/>
      <c r="AV179" s="415"/>
      <c r="AW179" s="415"/>
    </row>
    <row r="180" spans="1:49" s="390" customFormat="1" ht="63" customHeight="1">
      <c r="A180" s="402" t="s">
        <v>144</v>
      </c>
      <c r="B180" s="399" t="s">
        <v>553</v>
      </c>
      <c r="C180" s="388" t="s">
        <v>39</v>
      </c>
      <c r="D180" s="260"/>
      <c r="E180" s="260"/>
      <c r="F180" s="388" t="s">
        <v>975</v>
      </c>
      <c r="G180" s="260"/>
      <c r="H180" s="339">
        <v>14990</v>
      </c>
      <c r="I180" s="339">
        <v>5000</v>
      </c>
      <c r="J180" s="403"/>
      <c r="K180" s="403"/>
      <c r="L180" s="339"/>
      <c r="M180" s="339"/>
      <c r="N180" s="339"/>
      <c r="O180" s="339"/>
      <c r="P180" s="403"/>
      <c r="Q180" s="403"/>
      <c r="R180" s="339">
        <v>0</v>
      </c>
      <c r="S180" s="339">
        <v>0</v>
      </c>
      <c r="T180" s="339">
        <v>0</v>
      </c>
      <c r="U180" s="339"/>
      <c r="V180" s="339"/>
      <c r="W180" s="339"/>
      <c r="X180" s="339">
        <v>0</v>
      </c>
      <c r="Y180" s="339"/>
      <c r="Z180" s="339"/>
      <c r="AA180" s="339"/>
      <c r="AB180" s="339">
        <v>0</v>
      </c>
      <c r="AC180" s="339"/>
      <c r="AD180" s="339"/>
      <c r="AE180" s="339"/>
      <c r="AF180" s="339">
        <f t="shared" si="85"/>
        <v>0</v>
      </c>
      <c r="AG180" s="339">
        <f t="shared" si="86"/>
        <v>0</v>
      </c>
      <c r="AH180" s="339">
        <v>0</v>
      </c>
      <c r="AI180" s="339"/>
      <c r="AJ180" s="339"/>
      <c r="AK180" s="339"/>
      <c r="AL180" s="388" t="s">
        <v>1177</v>
      </c>
      <c r="AM180" s="400">
        <f>T180-X180-AB180</f>
        <v>0</v>
      </c>
      <c r="AO180" s="391"/>
      <c r="AP180" s="391"/>
      <c r="AQ180" s="391"/>
      <c r="AR180" s="391"/>
      <c r="AS180" s="391">
        <v>1</v>
      </c>
      <c r="AT180" s="391"/>
      <c r="AU180" s="391"/>
      <c r="AV180" s="391"/>
      <c r="AW180" s="391"/>
    </row>
    <row r="181" spans="1:49" s="390" customFormat="1" ht="47.25" customHeight="1">
      <c r="A181" s="402" t="s">
        <v>547</v>
      </c>
      <c r="B181" s="399" t="s">
        <v>1029</v>
      </c>
      <c r="C181" s="388" t="s">
        <v>39</v>
      </c>
      <c r="D181" s="260"/>
      <c r="E181" s="260"/>
      <c r="F181" s="388"/>
      <c r="G181" s="260"/>
      <c r="H181" s="339">
        <v>30000</v>
      </c>
      <c r="I181" s="339">
        <v>30000</v>
      </c>
      <c r="J181" s="403"/>
      <c r="K181" s="403"/>
      <c r="L181" s="339"/>
      <c r="M181" s="339"/>
      <c r="N181" s="339"/>
      <c r="O181" s="339"/>
      <c r="P181" s="403"/>
      <c r="Q181" s="403"/>
      <c r="R181" s="339"/>
      <c r="S181" s="339"/>
      <c r="T181" s="339">
        <v>0</v>
      </c>
      <c r="U181" s="339"/>
      <c r="V181" s="339"/>
      <c r="W181" s="339"/>
      <c r="X181" s="339"/>
      <c r="Y181" s="339"/>
      <c r="Z181" s="339"/>
      <c r="AA181" s="339"/>
      <c r="AB181" s="339">
        <v>0</v>
      </c>
      <c r="AC181" s="339"/>
      <c r="AD181" s="339"/>
      <c r="AE181" s="339"/>
      <c r="AF181" s="339">
        <f t="shared" si="85"/>
        <v>0</v>
      </c>
      <c r="AG181" s="339">
        <f t="shared" si="86"/>
        <v>0</v>
      </c>
      <c r="AH181" s="339">
        <v>0</v>
      </c>
      <c r="AI181" s="339"/>
      <c r="AJ181" s="339"/>
      <c r="AK181" s="339"/>
      <c r="AL181" s="388" t="s">
        <v>1177</v>
      </c>
      <c r="AM181" s="400">
        <f t="shared" si="95"/>
        <v>0</v>
      </c>
      <c r="AN181" s="411" t="s">
        <v>1216</v>
      </c>
      <c r="AO181" s="391"/>
      <c r="AP181" s="391"/>
      <c r="AQ181" s="391"/>
      <c r="AR181" s="391"/>
      <c r="AS181" s="391">
        <v>1</v>
      </c>
      <c r="AT181" s="391"/>
      <c r="AU181" s="391"/>
      <c r="AV181" s="391"/>
      <c r="AW181" s="391"/>
    </row>
    <row r="182" spans="1:49" s="396" customFormat="1" ht="87" customHeight="1">
      <c r="A182" s="269" t="s">
        <v>560</v>
      </c>
      <c r="B182" s="270" t="s">
        <v>202</v>
      </c>
      <c r="C182" s="393"/>
      <c r="D182" s="261"/>
      <c r="E182" s="261"/>
      <c r="F182" s="393" t="s">
        <v>975</v>
      </c>
      <c r="G182" s="261"/>
      <c r="H182" s="394"/>
      <c r="I182" s="394"/>
      <c r="J182" s="394"/>
      <c r="K182" s="394"/>
      <c r="L182" s="394"/>
      <c r="M182" s="394"/>
      <c r="N182" s="394"/>
      <c r="O182" s="394"/>
      <c r="P182" s="394"/>
      <c r="Q182" s="394"/>
      <c r="R182" s="394">
        <v>0</v>
      </c>
      <c r="S182" s="394">
        <v>0</v>
      </c>
      <c r="T182" s="394"/>
      <c r="U182" s="394"/>
      <c r="V182" s="394"/>
      <c r="W182" s="394"/>
      <c r="X182" s="394">
        <v>0</v>
      </c>
      <c r="Y182" s="394"/>
      <c r="Z182" s="394"/>
      <c r="AA182" s="394"/>
      <c r="AB182" s="394">
        <v>0</v>
      </c>
      <c r="AC182" s="394"/>
      <c r="AD182" s="394"/>
      <c r="AE182" s="394"/>
      <c r="AF182" s="339">
        <f t="shared" si="85"/>
        <v>0</v>
      </c>
      <c r="AG182" s="339">
        <f t="shared" si="86"/>
        <v>0</v>
      </c>
      <c r="AH182" s="394">
        <v>0</v>
      </c>
      <c r="AI182" s="394"/>
      <c r="AJ182" s="394"/>
      <c r="AK182" s="394"/>
      <c r="AL182" s="393"/>
      <c r="AM182" s="400">
        <f t="shared" si="95"/>
        <v>0</v>
      </c>
      <c r="AO182" s="397"/>
      <c r="AP182" s="397"/>
      <c r="AQ182" s="397"/>
      <c r="AR182" s="397"/>
      <c r="AS182" s="397"/>
      <c r="AT182" s="397"/>
      <c r="AU182" s="397"/>
      <c r="AV182" s="397"/>
      <c r="AW182" s="397"/>
    </row>
    <row r="183" spans="1:49" s="396" customFormat="1" ht="52.5" customHeight="1">
      <c r="A183" s="269" t="s">
        <v>561</v>
      </c>
      <c r="B183" s="270" t="s">
        <v>562</v>
      </c>
      <c r="C183" s="393"/>
      <c r="D183" s="261"/>
      <c r="E183" s="261"/>
      <c r="F183" s="393" t="s">
        <v>975</v>
      </c>
      <c r="G183" s="261"/>
      <c r="H183" s="394">
        <f t="shared" ref="H183:AE183" si="121">H184+H186+H188+H191</f>
        <v>135200</v>
      </c>
      <c r="I183" s="394">
        <f t="shared" si="121"/>
        <v>81955</v>
      </c>
      <c r="J183" s="394">
        <f t="shared" si="121"/>
        <v>10500</v>
      </c>
      <c r="K183" s="394">
        <f t="shared" si="121"/>
        <v>10500</v>
      </c>
      <c r="L183" s="394">
        <f t="shared" si="121"/>
        <v>2198.6170000000002</v>
      </c>
      <c r="M183" s="394">
        <f t="shared" si="121"/>
        <v>2198.6170000000002</v>
      </c>
      <c r="N183" s="394">
        <f t="shared" si="121"/>
        <v>9990.8130000000001</v>
      </c>
      <c r="O183" s="394">
        <f t="shared" si="121"/>
        <v>9990.8130000000001</v>
      </c>
      <c r="P183" s="394">
        <f t="shared" si="121"/>
        <v>10500</v>
      </c>
      <c r="Q183" s="394">
        <f t="shared" si="121"/>
        <v>10500</v>
      </c>
      <c r="R183" s="394">
        <f t="shared" si="121"/>
        <v>38000</v>
      </c>
      <c r="S183" s="394">
        <f t="shared" si="121"/>
        <v>38000</v>
      </c>
      <c r="T183" s="394">
        <f t="shared" si="121"/>
        <v>49300</v>
      </c>
      <c r="U183" s="394">
        <f t="shared" si="121"/>
        <v>0</v>
      </c>
      <c r="V183" s="394">
        <f t="shared" si="121"/>
        <v>0</v>
      </c>
      <c r="W183" s="394">
        <f t="shared" si="121"/>
        <v>0</v>
      </c>
      <c r="X183" s="394">
        <f t="shared" si="121"/>
        <v>47000</v>
      </c>
      <c r="Y183" s="394">
        <f t="shared" si="121"/>
        <v>0</v>
      </c>
      <c r="Z183" s="394">
        <f t="shared" si="121"/>
        <v>0</v>
      </c>
      <c r="AA183" s="394">
        <f t="shared" si="121"/>
        <v>0</v>
      </c>
      <c r="AB183" s="394">
        <f t="shared" si="121"/>
        <v>2500</v>
      </c>
      <c r="AC183" s="394">
        <f t="shared" si="121"/>
        <v>0</v>
      </c>
      <c r="AD183" s="394">
        <f t="shared" si="121"/>
        <v>0</v>
      </c>
      <c r="AE183" s="394">
        <f t="shared" si="121"/>
        <v>200</v>
      </c>
      <c r="AF183" s="394">
        <f t="shared" ref="AF183:AG183" si="122">AF184+AF186+AF188+AF191</f>
        <v>0</v>
      </c>
      <c r="AG183" s="394">
        <f t="shared" si="122"/>
        <v>200</v>
      </c>
      <c r="AH183" s="394">
        <f t="shared" ref="AH183:AK183" si="123">AH184+AH186+AH188+AH191</f>
        <v>2300</v>
      </c>
      <c r="AI183" s="394">
        <f t="shared" si="123"/>
        <v>0</v>
      </c>
      <c r="AJ183" s="394">
        <f t="shared" si="123"/>
        <v>0</v>
      </c>
      <c r="AK183" s="394">
        <f t="shared" si="123"/>
        <v>0</v>
      </c>
      <c r="AL183" s="393"/>
      <c r="AM183" s="400">
        <f t="shared" si="95"/>
        <v>-200</v>
      </c>
      <c r="AO183" s="397"/>
      <c r="AP183" s="397"/>
      <c r="AQ183" s="397"/>
      <c r="AR183" s="397"/>
      <c r="AS183" s="397"/>
      <c r="AT183" s="397"/>
      <c r="AU183" s="397"/>
      <c r="AV183" s="397"/>
      <c r="AW183" s="397"/>
    </row>
    <row r="184" spans="1:49" s="414" customFormat="1" ht="51.75">
      <c r="A184" s="416" t="s">
        <v>120</v>
      </c>
      <c r="B184" s="417" t="s">
        <v>1195</v>
      </c>
      <c r="C184" s="412"/>
      <c r="D184" s="282"/>
      <c r="E184" s="282"/>
      <c r="F184" s="412" t="s">
        <v>975</v>
      </c>
      <c r="G184" s="282"/>
      <c r="H184" s="407">
        <f t="shared" ref="H184:AG184" si="124">SUM(H185:H185)</f>
        <v>44600</v>
      </c>
      <c r="I184" s="407">
        <f t="shared" si="124"/>
        <v>29355</v>
      </c>
      <c r="J184" s="407">
        <f t="shared" si="124"/>
        <v>3500</v>
      </c>
      <c r="K184" s="407">
        <f t="shared" si="124"/>
        <v>3500</v>
      </c>
      <c r="L184" s="407">
        <f t="shared" si="124"/>
        <v>2198.6170000000002</v>
      </c>
      <c r="M184" s="407">
        <f t="shared" si="124"/>
        <v>2198.6170000000002</v>
      </c>
      <c r="N184" s="407">
        <f t="shared" si="124"/>
        <v>3500</v>
      </c>
      <c r="O184" s="407">
        <f t="shared" si="124"/>
        <v>3500</v>
      </c>
      <c r="P184" s="407">
        <f t="shared" si="124"/>
        <v>3500</v>
      </c>
      <c r="Q184" s="407">
        <f t="shared" si="124"/>
        <v>3500</v>
      </c>
      <c r="R184" s="407">
        <f t="shared" si="124"/>
        <v>28000</v>
      </c>
      <c r="S184" s="407">
        <f t="shared" si="124"/>
        <v>28000</v>
      </c>
      <c r="T184" s="407">
        <f t="shared" si="124"/>
        <v>29300</v>
      </c>
      <c r="U184" s="407">
        <f t="shared" si="124"/>
        <v>0</v>
      </c>
      <c r="V184" s="407">
        <f t="shared" si="124"/>
        <v>0</v>
      </c>
      <c r="W184" s="407">
        <f t="shared" si="124"/>
        <v>0</v>
      </c>
      <c r="X184" s="407">
        <f t="shared" si="124"/>
        <v>28000</v>
      </c>
      <c r="Y184" s="407">
        <f t="shared" si="124"/>
        <v>0</v>
      </c>
      <c r="Z184" s="407">
        <f t="shared" si="124"/>
        <v>0</v>
      </c>
      <c r="AA184" s="407">
        <f t="shared" si="124"/>
        <v>0</v>
      </c>
      <c r="AB184" s="407">
        <f t="shared" si="124"/>
        <v>1300</v>
      </c>
      <c r="AC184" s="407">
        <f t="shared" si="124"/>
        <v>0</v>
      </c>
      <c r="AD184" s="407">
        <f t="shared" si="124"/>
        <v>0</v>
      </c>
      <c r="AE184" s="407">
        <f t="shared" si="124"/>
        <v>0</v>
      </c>
      <c r="AF184" s="407">
        <f t="shared" si="124"/>
        <v>0</v>
      </c>
      <c r="AG184" s="407">
        <f t="shared" si="124"/>
        <v>0</v>
      </c>
      <c r="AH184" s="407">
        <f t="shared" ref="AH184:AK184" si="125">SUM(AH185:AH185)</f>
        <v>1300</v>
      </c>
      <c r="AI184" s="407">
        <f t="shared" si="125"/>
        <v>0</v>
      </c>
      <c r="AJ184" s="407">
        <f t="shared" si="125"/>
        <v>0</v>
      </c>
      <c r="AK184" s="407">
        <f t="shared" si="125"/>
        <v>0</v>
      </c>
      <c r="AL184" s="412"/>
      <c r="AM184" s="400">
        <f t="shared" si="95"/>
        <v>0</v>
      </c>
      <c r="AO184" s="415"/>
      <c r="AP184" s="415"/>
      <c r="AQ184" s="415"/>
      <c r="AR184" s="415"/>
      <c r="AS184" s="415"/>
      <c r="AT184" s="415"/>
      <c r="AU184" s="415"/>
      <c r="AV184" s="415"/>
      <c r="AW184" s="415"/>
    </row>
    <row r="185" spans="1:49" s="390" customFormat="1" ht="46.15">
      <c r="A185" s="398">
        <v>1</v>
      </c>
      <c r="B185" s="399" t="s">
        <v>572</v>
      </c>
      <c r="C185" s="388" t="s">
        <v>39</v>
      </c>
      <c r="D185" s="260" t="s">
        <v>632</v>
      </c>
      <c r="E185" s="260" t="s">
        <v>798</v>
      </c>
      <c r="F185" s="388" t="s">
        <v>1226</v>
      </c>
      <c r="G185" s="260" t="s">
        <v>799</v>
      </c>
      <c r="H185" s="339">
        <v>44600</v>
      </c>
      <c r="I185" s="339">
        <v>29355</v>
      </c>
      <c r="J185" s="339">
        <v>3500</v>
      </c>
      <c r="K185" s="339">
        <v>3500</v>
      </c>
      <c r="L185" s="339">
        <v>2198.6170000000002</v>
      </c>
      <c r="M185" s="339">
        <v>2198.6170000000002</v>
      </c>
      <c r="N185" s="339">
        <v>3500</v>
      </c>
      <c r="O185" s="339">
        <v>3500</v>
      </c>
      <c r="P185" s="339">
        <v>3500</v>
      </c>
      <c r="Q185" s="339">
        <v>3500</v>
      </c>
      <c r="R185" s="339">
        <v>28000</v>
      </c>
      <c r="S185" s="339">
        <v>28000</v>
      </c>
      <c r="T185" s="339">
        <v>29300</v>
      </c>
      <c r="U185" s="339"/>
      <c r="V185" s="339"/>
      <c r="W185" s="339"/>
      <c r="X185" s="339">
        <v>28000</v>
      </c>
      <c r="Y185" s="339"/>
      <c r="Z185" s="339"/>
      <c r="AA185" s="339"/>
      <c r="AB185" s="339">
        <v>1300</v>
      </c>
      <c r="AC185" s="339"/>
      <c r="AD185" s="339"/>
      <c r="AE185" s="339"/>
      <c r="AF185" s="339">
        <f t="shared" si="85"/>
        <v>0</v>
      </c>
      <c r="AG185" s="339">
        <f t="shared" si="86"/>
        <v>0</v>
      </c>
      <c r="AH185" s="339">
        <v>1300</v>
      </c>
      <c r="AI185" s="339"/>
      <c r="AJ185" s="339"/>
      <c r="AK185" s="339"/>
      <c r="AL185" s="388"/>
      <c r="AM185" s="400">
        <f t="shared" si="95"/>
        <v>0</v>
      </c>
      <c r="AO185" s="391"/>
      <c r="AP185" s="391">
        <v>1</v>
      </c>
      <c r="AQ185" s="391"/>
      <c r="AR185" s="391"/>
      <c r="AS185" s="391"/>
      <c r="AT185" s="391"/>
      <c r="AU185" s="391"/>
      <c r="AV185" s="391">
        <v>1</v>
      </c>
      <c r="AW185" s="391" t="s">
        <v>1227</v>
      </c>
    </row>
    <row r="186" spans="1:49" s="414" customFormat="1" ht="34.5">
      <c r="A186" s="404" t="s">
        <v>122</v>
      </c>
      <c r="B186" s="405" t="s">
        <v>1183</v>
      </c>
      <c r="C186" s="412"/>
      <c r="D186" s="282"/>
      <c r="E186" s="282"/>
      <c r="F186" s="412"/>
      <c r="G186" s="282"/>
      <c r="H186" s="407">
        <f>H187</f>
        <v>55000</v>
      </c>
      <c r="I186" s="407">
        <f t="shared" ref="I186:AG186" si="126">I187</f>
        <v>20000</v>
      </c>
      <c r="J186" s="407">
        <f t="shared" si="126"/>
        <v>7000</v>
      </c>
      <c r="K186" s="407">
        <f t="shared" si="126"/>
        <v>7000</v>
      </c>
      <c r="L186" s="407">
        <f t="shared" si="126"/>
        <v>0</v>
      </c>
      <c r="M186" s="407">
        <f t="shared" si="126"/>
        <v>0</v>
      </c>
      <c r="N186" s="407">
        <f t="shared" si="126"/>
        <v>6490.8130000000001</v>
      </c>
      <c r="O186" s="407">
        <f t="shared" si="126"/>
        <v>6490.8130000000001</v>
      </c>
      <c r="P186" s="407">
        <f t="shared" si="126"/>
        <v>7000</v>
      </c>
      <c r="Q186" s="407">
        <f t="shared" si="126"/>
        <v>7000</v>
      </c>
      <c r="R186" s="407">
        <f t="shared" si="126"/>
        <v>10000</v>
      </c>
      <c r="S186" s="407">
        <f t="shared" si="126"/>
        <v>10000</v>
      </c>
      <c r="T186" s="407">
        <f t="shared" si="126"/>
        <v>20000</v>
      </c>
      <c r="U186" s="407">
        <f t="shared" si="126"/>
        <v>0</v>
      </c>
      <c r="V186" s="407">
        <f t="shared" si="126"/>
        <v>0</v>
      </c>
      <c r="W186" s="407">
        <f t="shared" si="126"/>
        <v>0</v>
      </c>
      <c r="X186" s="407">
        <f t="shared" si="126"/>
        <v>19000</v>
      </c>
      <c r="Y186" s="407">
        <f t="shared" si="126"/>
        <v>0</v>
      </c>
      <c r="Z186" s="407">
        <f t="shared" si="126"/>
        <v>0</v>
      </c>
      <c r="AA186" s="407">
        <f t="shared" si="126"/>
        <v>0</v>
      </c>
      <c r="AB186" s="407">
        <f t="shared" si="126"/>
        <v>1000</v>
      </c>
      <c r="AC186" s="407">
        <f t="shared" si="126"/>
        <v>0</v>
      </c>
      <c r="AD186" s="407">
        <f t="shared" si="126"/>
        <v>0</v>
      </c>
      <c r="AE186" s="407">
        <f t="shared" si="126"/>
        <v>0</v>
      </c>
      <c r="AF186" s="407">
        <f t="shared" si="126"/>
        <v>0</v>
      </c>
      <c r="AG186" s="407">
        <f t="shared" si="126"/>
        <v>0</v>
      </c>
      <c r="AH186" s="407">
        <f t="shared" ref="AH186:AK186" si="127">AH187</f>
        <v>1000</v>
      </c>
      <c r="AI186" s="407">
        <f t="shared" si="127"/>
        <v>0</v>
      </c>
      <c r="AJ186" s="407">
        <f t="shared" si="127"/>
        <v>0</v>
      </c>
      <c r="AK186" s="407">
        <f t="shared" si="127"/>
        <v>0</v>
      </c>
      <c r="AL186" s="412"/>
      <c r="AM186" s="400">
        <f t="shared" si="95"/>
        <v>0</v>
      </c>
      <c r="AO186" s="415"/>
      <c r="AP186" s="415"/>
      <c r="AQ186" s="415"/>
      <c r="AR186" s="415"/>
      <c r="AS186" s="415"/>
      <c r="AT186" s="415"/>
      <c r="AU186" s="415"/>
      <c r="AV186" s="415"/>
      <c r="AW186" s="415"/>
    </row>
    <row r="187" spans="1:49" s="390" customFormat="1" ht="72.75" customHeight="1">
      <c r="A187" s="398">
        <v>1</v>
      </c>
      <c r="B187" s="399" t="s">
        <v>573</v>
      </c>
      <c r="C187" s="388" t="s">
        <v>39</v>
      </c>
      <c r="D187" s="260" t="s">
        <v>229</v>
      </c>
      <c r="E187" s="260"/>
      <c r="F187" s="388" t="s">
        <v>1165</v>
      </c>
      <c r="G187" s="260" t="s">
        <v>800</v>
      </c>
      <c r="H187" s="339">
        <v>55000</v>
      </c>
      <c r="I187" s="339">
        <v>20000</v>
      </c>
      <c r="J187" s="339">
        <v>7000</v>
      </c>
      <c r="K187" s="339">
        <v>7000</v>
      </c>
      <c r="L187" s="339"/>
      <c r="M187" s="339"/>
      <c r="N187" s="339">
        <v>6490.8130000000001</v>
      </c>
      <c r="O187" s="339">
        <v>6490.8130000000001</v>
      </c>
      <c r="P187" s="339">
        <v>7000</v>
      </c>
      <c r="Q187" s="339">
        <v>7000</v>
      </c>
      <c r="R187" s="339">
        <v>10000</v>
      </c>
      <c r="S187" s="339">
        <v>10000</v>
      </c>
      <c r="T187" s="339">
        <v>20000</v>
      </c>
      <c r="U187" s="339"/>
      <c r="V187" s="339"/>
      <c r="W187" s="339"/>
      <c r="X187" s="339">
        <v>19000</v>
      </c>
      <c r="Y187" s="339"/>
      <c r="Z187" s="339"/>
      <c r="AA187" s="339"/>
      <c r="AB187" s="339">
        <v>1000</v>
      </c>
      <c r="AC187" s="339"/>
      <c r="AD187" s="339"/>
      <c r="AE187" s="339"/>
      <c r="AF187" s="339">
        <f t="shared" si="85"/>
        <v>0</v>
      </c>
      <c r="AG187" s="339">
        <f t="shared" si="86"/>
        <v>0</v>
      </c>
      <c r="AH187" s="339">
        <v>1000</v>
      </c>
      <c r="AI187" s="339"/>
      <c r="AJ187" s="339"/>
      <c r="AK187" s="339"/>
      <c r="AL187" s="388"/>
      <c r="AM187" s="400">
        <f t="shared" si="95"/>
        <v>0</v>
      </c>
      <c r="AO187" s="391"/>
      <c r="AP187" s="391"/>
      <c r="AQ187" s="391">
        <v>1</v>
      </c>
      <c r="AR187" s="391"/>
      <c r="AS187" s="391"/>
      <c r="AT187" s="391"/>
      <c r="AU187" s="391"/>
      <c r="AV187" s="391">
        <v>1</v>
      </c>
      <c r="AW187" s="391" t="s">
        <v>1227</v>
      </c>
    </row>
    <row r="188" spans="1:49" s="390" customFormat="1">
      <c r="A188" s="404" t="s">
        <v>350</v>
      </c>
      <c r="B188" s="405" t="s">
        <v>1192</v>
      </c>
      <c r="C188" s="388" t="s">
        <v>39</v>
      </c>
      <c r="D188" s="261"/>
      <c r="E188" s="261"/>
      <c r="F188" s="388" t="s">
        <v>975</v>
      </c>
      <c r="G188" s="261"/>
      <c r="H188" s="394">
        <f>SUM(H189:H190)</f>
        <v>24600</v>
      </c>
      <c r="I188" s="394">
        <f t="shared" ref="I188:AG188" si="128">SUM(I189:I190)</f>
        <v>24600</v>
      </c>
      <c r="J188" s="394">
        <f t="shared" si="128"/>
        <v>0</v>
      </c>
      <c r="K188" s="394">
        <f t="shared" si="128"/>
        <v>0</v>
      </c>
      <c r="L188" s="394">
        <f t="shared" si="128"/>
        <v>0</v>
      </c>
      <c r="M188" s="394">
        <f t="shared" si="128"/>
        <v>0</v>
      </c>
      <c r="N188" s="394">
        <f t="shared" si="128"/>
        <v>0</v>
      </c>
      <c r="O188" s="394">
        <f t="shared" si="128"/>
        <v>0</v>
      </c>
      <c r="P188" s="394">
        <f t="shared" si="128"/>
        <v>0</v>
      </c>
      <c r="Q188" s="394">
        <f t="shared" si="128"/>
        <v>0</v>
      </c>
      <c r="R188" s="394">
        <f t="shared" si="128"/>
        <v>0</v>
      </c>
      <c r="S188" s="394">
        <f t="shared" si="128"/>
        <v>0</v>
      </c>
      <c r="T188" s="394">
        <f t="shared" si="128"/>
        <v>0</v>
      </c>
      <c r="U188" s="394">
        <f t="shared" si="128"/>
        <v>0</v>
      </c>
      <c r="V188" s="394">
        <f t="shared" si="128"/>
        <v>0</v>
      </c>
      <c r="W188" s="394">
        <f t="shared" si="128"/>
        <v>0</v>
      </c>
      <c r="X188" s="394">
        <f t="shared" si="128"/>
        <v>0</v>
      </c>
      <c r="Y188" s="394">
        <f t="shared" si="128"/>
        <v>0</v>
      </c>
      <c r="Z188" s="394">
        <f t="shared" si="128"/>
        <v>0</v>
      </c>
      <c r="AA188" s="394">
        <f t="shared" si="128"/>
        <v>0</v>
      </c>
      <c r="AB188" s="394">
        <f t="shared" si="128"/>
        <v>0</v>
      </c>
      <c r="AC188" s="394">
        <f t="shared" si="128"/>
        <v>0</v>
      </c>
      <c r="AD188" s="394">
        <f t="shared" si="128"/>
        <v>0</v>
      </c>
      <c r="AE188" s="394">
        <f t="shared" si="128"/>
        <v>0</v>
      </c>
      <c r="AF188" s="394">
        <f t="shared" si="128"/>
        <v>0</v>
      </c>
      <c r="AG188" s="394">
        <f t="shared" si="128"/>
        <v>0</v>
      </c>
      <c r="AH188" s="394">
        <f t="shared" ref="AH188:AK188" si="129">SUM(AH189:AH190)</f>
        <v>0</v>
      </c>
      <c r="AI188" s="394">
        <f t="shared" si="129"/>
        <v>0</v>
      </c>
      <c r="AJ188" s="394">
        <f t="shared" si="129"/>
        <v>0</v>
      </c>
      <c r="AK188" s="394">
        <f t="shared" si="129"/>
        <v>0</v>
      </c>
      <c r="AL188" s="388"/>
      <c r="AM188" s="400">
        <f t="shared" si="95"/>
        <v>0</v>
      </c>
      <c r="AO188" s="391"/>
      <c r="AP188" s="391"/>
      <c r="AQ188" s="391"/>
      <c r="AR188" s="391"/>
      <c r="AS188" s="391"/>
      <c r="AT188" s="391"/>
      <c r="AU188" s="391"/>
      <c r="AV188" s="391"/>
      <c r="AW188" s="391"/>
    </row>
    <row r="189" spans="1:49" s="390" customFormat="1" ht="58.5" customHeight="1">
      <c r="A189" s="398">
        <v>1</v>
      </c>
      <c r="B189" s="399" t="s">
        <v>574</v>
      </c>
      <c r="C189" s="388" t="s">
        <v>39</v>
      </c>
      <c r="D189" s="260"/>
      <c r="E189" s="260"/>
      <c r="F189" s="388" t="s">
        <v>975</v>
      </c>
      <c r="G189" s="260" t="s">
        <v>980</v>
      </c>
      <c r="H189" s="339">
        <v>14600</v>
      </c>
      <c r="I189" s="339">
        <v>14600</v>
      </c>
      <c r="J189" s="339"/>
      <c r="K189" s="339"/>
      <c r="L189" s="339"/>
      <c r="M189" s="339"/>
      <c r="N189" s="339"/>
      <c r="O189" s="339"/>
      <c r="P189" s="339"/>
      <c r="Q189" s="339"/>
      <c r="R189" s="339">
        <v>0</v>
      </c>
      <c r="S189" s="339">
        <v>0</v>
      </c>
      <c r="T189" s="339">
        <v>0</v>
      </c>
      <c r="U189" s="339"/>
      <c r="V189" s="339"/>
      <c r="W189" s="339"/>
      <c r="X189" s="339">
        <v>0</v>
      </c>
      <c r="Y189" s="339"/>
      <c r="Z189" s="339"/>
      <c r="AA189" s="339"/>
      <c r="AB189" s="339">
        <v>0</v>
      </c>
      <c r="AC189" s="339"/>
      <c r="AD189" s="339"/>
      <c r="AE189" s="339"/>
      <c r="AF189" s="339">
        <f t="shared" si="85"/>
        <v>0</v>
      </c>
      <c r="AG189" s="339">
        <f t="shared" si="86"/>
        <v>0</v>
      </c>
      <c r="AH189" s="339">
        <v>0</v>
      </c>
      <c r="AI189" s="339"/>
      <c r="AJ189" s="339"/>
      <c r="AK189" s="339"/>
      <c r="AL189" s="313" t="s">
        <v>1082</v>
      </c>
      <c r="AM189" s="400">
        <f t="shared" si="95"/>
        <v>0</v>
      </c>
      <c r="AO189" s="391"/>
      <c r="AP189" s="391"/>
      <c r="AQ189" s="391"/>
      <c r="AR189" s="391"/>
      <c r="AS189" s="391">
        <v>1</v>
      </c>
      <c r="AT189" s="391"/>
      <c r="AU189" s="391"/>
      <c r="AV189" s="391"/>
      <c r="AW189" s="391"/>
    </row>
    <row r="190" spans="1:49" s="390" customFormat="1" ht="58.5" customHeight="1">
      <c r="A190" s="398">
        <v>2</v>
      </c>
      <c r="B190" s="399" t="s">
        <v>575</v>
      </c>
      <c r="C190" s="388" t="s">
        <v>39</v>
      </c>
      <c r="D190" s="260"/>
      <c r="E190" s="260"/>
      <c r="F190" s="388" t="s">
        <v>975</v>
      </c>
      <c r="G190" s="260" t="s">
        <v>981</v>
      </c>
      <c r="H190" s="339">
        <v>10000</v>
      </c>
      <c r="I190" s="339">
        <v>10000</v>
      </c>
      <c r="J190" s="339"/>
      <c r="K190" s="339"/>
      <c r="L190" s="339"/>
      <c r="M190" s="339"/>
      <c r="N190" s="339"/>
      <c r="O190" s="339"/>
      <c r="P190" s="339"/>
      <c r="Q190" s="339"/>
      <c r="R190" s="339">
        <v>0</v>
      </c>
      <c r="S190" s="339">
        <v>0</v>
      </c>
      <c r="T190" s="339">
        <v>0</v>
      </c>
      <c r="U190" s="339"/>
      <c r="V190" s="339"/>
      <c r="W190" s="339"/>
      <c r="X190" s="339">
        <v>0</v>
      </c>
      <c r="Y190" s="339"/>
      <c r="Z190" s="339"/>
      <c r="AA190" s="339"/>
      <c r="AB190" s="339">
        <v>0</v>
      </c>
      <c r="AC190" s="339"/>
      <c r="AD190" s="339"/>
      <c r="AE190" s="339"/>
      <c r="AF190" s="339">
        <f t="shared" si="85"/>
        <v>0</v>
      </c>
      <c r="AG190" s="339">
        <f t="shared" si="86"/>
        <v>0</v>
      </c>
      <c r="AH190" s="339">
        <v>0</v>
      </c>
      <c r="AI190" s="339"/>
      <c r="AJ190" s="339"/>
      <c r="AK190" s="339"/>
      <c r="AL190" s="313" t="s">
        <v>1082</v>
      </c>
      <c r="AM190" s="400">
        <f t="shared" si="95"/>
        <v>0</v>
      </c>
      <c r="AO190" s="391"/>
      <c r="AP190" s="391"/>
      <c r="AQ190" s="391"/>
      <c r="AR190" s="391"/>
      <c r="AS190" s="391">
        <v>1</v>
      </c>
      <c r="AT190" s="391"/>
      <c r="AU190" s="391"/>
      <c r="AV190" s="391"/>
      <c r="AW190" s="391"/>
    </row>
    <row r="191" spans="1:49" s="414" customFormat="1" ht="34.5">
      <c r="A191" s="404" t="s">
        <v>471</v>
      </c>
      <c r="B191" s="405" t="s">
        <v>1188</v>
      </c>
      <c r="C191" s="412"/>
      <c r="D191" s="282"/>
      <c r="E191" s="282"/>
      <c r="F191" s="412"/>
      <c r="G191" s="282"/>
      <c r="H191" s="407">
        <f>H192</f>
        <v>11000</v>
      </c>
      <c r="I191" s="407">
        <f t="shared" ref="I191:AG191" si="130">I192</f>
        <v>8000</v>
      </c>
      <c r="J191" s="407">
        <f t="shared" si="130"/>
        <v>0</v>
      </c>
      <c r="K191" s="407">
        <f t="shared" si="130"/>
        <v>0</v>
      </c>
      <c r="L191" s="407">
        <f t="shared" si="130"/>
        <v>0</v>
      </c>
      <c r="M191" s="407">
        <f t="shared" si="130"/>
        <v>0</v>
      </c>
      <c r="N191" s="407">
        <f t="shared" si="130"/>
        <v>0</v>
      </c>
      <c r="O191" s="407">
        <f t="shared" si="130"/>
        <v>0</v>
      </c>
      <c r="P191" s="407">
        <f t="shared" si="130"/>
        <v>0</v>
      </c>
      <c r="Q191" s="407">
        <f t="shared" si="130"/>
        <v>0</v>
      </c>
      <c r="R191" s="407">
        <f t="shared" si="130"/>
        <v>0</v>
      </c>
      <c r="S191" s="407">
        <f t="shared" si="130"/>
        <v>0</v>
      </c>
      <c r="T191" s="407">
        <f t="shared" si="130"/>
        <v>0</v>
      </c>
      <c r="U191" s="407">
        <f t="shared" si="130"/>
        <v>0</v>
      </c>
      <c r="V191" s="407">
        <f t="shared" si="130"/>
        <v>0</v>
      </c>
      <c r="W191" s="407">
        <f t="shared" si="130"/>
        <v>0</v>
      </c>
      <c r="X191" s="407">
        <f t="shared" si="130"/>
        <v>0</v>
      </c>
      <c r="Y191" s="407">
        <f t="shared" si="130"/>
        <v>0</v>
      </c>
      <c r="Z191" s="407">
        <f t="shared" si="130"/>
        <v>0</v>
      </c>
      <c r="AA191" s="407">
        <f t="shared" si="130"/>
        <v>0</v>
      </c>
      <c r="AB191" s="407">
        <f t="shared" si="130"/>
        <v>200</v>
      </c>
      <c r="AC191" s="407">
        <f t="shared" si="130"/>
        <v>0</v>
      </c>
      <c r="AD191" s="407">
        <f t="shared" si="130"/>
        <v>0</v>
      </c>
      <c r="AE191" s="407">
        <f t="shared" si="130"/>
        <v>200</v>
      </c>
      <c r="AF191" s="407">
        <f t="shared" si="130"/>
        <v>0</v>
      </c>
      <c r="AG191" s="407">
        <f t="shared" si="130"/>
        <v>200</v>
      </c>
      <c r="AH191" s="407">
        <f t="shared" ref="AH191:AK191" si="131">AH192</f>
        <v>0</v>
      </c>
      <c r="AI191" s="407">
        <f t="shared" si="131"/>
        <v>0</v>
      </c>
      <c r="AJ191" s="407">
        <f t="shared" si="131"/>
        <v>0</v>
      </c>
      <c r="AK191" s="407">
        <f t="shared" si="131"/>
        <v>0</v>
      </c>
      <c r="AL191" s="412"/>
      <c r="AM191" s="400">
        <f t="shared" si="95"/>
        <v>-200</v>
      </c>
      <c r="AO191" s="415"/>
      <c r="AP191" s="415"/>
      <c r="AQ191" s="415"/>
      <c r="AR191" s="415"/>
      <c r="AS191" s="415"/>
      <c r="AT191" s="415"/>
      <c r="AU191" s="415"/>
      <c r="AV191" s="415"/>
      <c r="AW191" s="415"/>
    </row>
    <row r="192" spans="1:49" s="390" customFormat="1" ht="57.75" customHeight="1">
      <c r="A192" s="398">
        <v>1</v>
      </c>
      <c r="B192" s="399" t="s">
        <v>1031</v>
      </c>
      <c r="C192" s="388" t="s">
        <v>39</v>
      </c>
      <c r="D192" s="260"/>
      <c r="E192" s="260"/>
      <c r="F192" s="388"/>
      <c r="G192" s="260"/>
      <c r="H192" s="339">
        <v>11000</v>
      </c>
      <c r="I192" s="339">
        <v>8000</v>
      </c>
      <c r="J192" s="339"/>
      <c r="K192" s="339"/>
      <c r="L192" s="339"/>
      <c r="M192" s="339"/>
      <c r="N192" s="339"/>
      <c r="O192" s="339"/>
      <c r="P192" s="339"/>
      <c r="Q192" s="339"/>
      <c r="R192" s="339"/>
      <c r="S192" s="339"/>
      <c r="T192" s="339">
        <v>0</v>
      </c>
      <c r="U192" s="339"/>
      <c r="V192" s="339"/>
      <c r="W192" s="339"/>
      <c r="X192" s="339"/>
      <c r="Y192" s="339"/>
      <c r="Z192" s="339"/>
      <c r="AA192" s="339"/>
      <c r="AB192" s="339">
        <v>200</v>
      </c>
      <c r="AC192" s="339"/>
      <c r="AD192" s="339"/>
      <c r="AE192" s="339">
        <v>200</v>
      </c>
      <c r="AF192" s="339">
        <f t="shared" si="85"/>
        <v>0</v>
      </c>
      <c r="AG192" s="339">
        <f t="shared" si="86"/>
        <v>200</v>
      </c>
      <c r="AH192" s="339">
        <v>0</v>
      </c>
      <c r="AI192" s="339"/>
      <c r="AJ192" s="339"/>
      <c r="AK192" s="339"/>
      <c r="AL192" s="313" t="s">
        <v>1082</v>
      </c>
      <c r="AM192" s="400">
        <f t="shared" si="95"/>
        <v>-200</v>
      </c>
      <c r="AO192" s="391"/>
      <c r="AP192" s="391"/>
      <c r="AQ192" s="391"/>
      <c r="AR192" s="391"/>
      <c r="AS192" s="391"/>
      <c r="AT192" s="391">
        <v>1</v>
      </c>
      <c r="AU192" s="391"/>
      <c r="AV192" s="391"/>
      <c r="AW192" s="391"/>
    </row>
    <row r="193" spans="1:49" s="396" customFormat="1" ht="30.75" customHeight="1">
      <c r="A193" s="269" t="s">
        <v>576</v>
      </c>
      <c r="B193" s="270" t="s">
        <v>577</v>
      </c>
      <c r="C193" s="393"/>
      <c r="D193" s="261"/>
      <c r="E193" s="261"/>
      <c r="F193" s="393" t="s">
        <v>975</v>
      </c>
      <c r="G193" s="261"/>
      <c r="H193" s="394"/>
      <c r="I193" s="394"/>
      <c r="J193" s="394"/>
      <c r="K193" s="394"/>
      <c r="L193" s="394"/>
      <c r="M193" s="394"/>
      <c r="N193" s="394"/>
      <c r="O193" s="394"/>
      <c r="P193" s="394"/>
      <c r="Q193" s="394"/>
      <c r="R193" s="394"/>
      <c r="S193" s="394"/>
      <c r="T193" s="394"/>
      <c r="U193" s="394"/>
      <c r="V193" s="394"/>
      <c r="W193" s="394"/>
      <c r="X193" s="394"/>
      <c r="Y193" s="394"/>
      <c r="Z193" s="394"/>
      <c r="AA193" s="394"/>
      <c r="AB193" s="394"/>
      <c r="AC193" s="394"/>
      <c r="AD193" s="394"/>
      <c r="AE193" s="394"/>
      <c r="AF193" s="339">
        <f t="shared" si="85"/>
        <v>0</v>
      </c>
      <c r="AG193" s="339">
        <f t="shared" si="86"/>
        <v>0</v>
      </c>
      <c r="AH193" s="394"/>
      <c r="AI193" s="394"/>
      <c r="AJ193" s="394"/>
      <c r="AK193" s="394"/>
      <c r="AL193" s="393"/>
      <c r="AM193" s="400">
        <f t="shared" si="95"/>
        <v>0</v>
      </c>
      <c r="AO193" s="397"/>
      <c r="AP193" s="397"/>
      <c r="AQ193" s="397"/>
      <c r="AR193" s="397"/>
      <c r="AS193" s="397"/>
      <c r="AT193" s="397"/>
      <c r="AU193" s="397"/>
      <c r="AV193" s="397"/>
      <c r="AW193" s="397"/>
    </row>
    <row r="194" spans="1:49" s="396" customFormat="1" ht="68.25" customHeight="1">
      <c r="A194" s="269" t="s">
        <v>580</v>
      </c>
      <c r="B194" s="270" t="s">
        <v>211</v>
      </c>
      <c r="C194" s="393"/>
      <c r="D194" s="261"/>
      <c r="E194" s="261"/>
      <c r="F194" s="393" t="s">
        <v>975</v>
      </c>
      <c r="G194" s="261"/>
      <c r="H194" s="394">
        <f>H195+H200</f>
        <v>232003</v>
      </c>
      <c r="I194" s="394">
        <f t="shared" ref="I194:AE194" si="132">I195+I200</f>
        <v>87127</v>
      </c>
      <c r="J194" s="394">
        <f t="shared" si="132"/>
        <v>47000</v>
      </c>
      <c r="K194" s="394">
        <f t="shared" si="132"/>
        <v>47000</v>
      </c>
      <c r="L194" s="394">
        <f t="shared" si="132"/>
        <v>24220.656079</v>
      </c>
      <c r="M194" s="394">
        <f t="shared" si="132"/>
        <v>24220.656079</v>
      </c>
      <c r="N194" s="394">
        <f t="shared" si="132"/>
        <v>31639.646078999998</v>
      </c>
      <c r="O194" s="394">
        <f t="shared" si="132"/>
        <v>31639.646078999998</v>
      </c>
      <c r="P194" s="394">
        <f t="shared" si="132"/>
        <v>47000</v>
      </c>
      <c r="Q194" s="394">
        <f t="shared" si="132"/>
        <v>47000</v>
      </c>
      <c r="R194" s="394">
        <f t="shared" si="132"/>
        <v>47000</v>
      </c>
      <c r="S194" s="394">
        <f t="shared" si="132"/>
        <v>47000</v>
      </c>
      <c r="T194" s="394">
        <f t="shared" si="132"/>
        <v>81498</v>
      </c>
      <c r="U194" s="394">
        <f t="shared" si="132"/>
        <v>0</v>
      </c>
      <c r="V194" s="394">
        <f t="shared" si="132"/>
        <v>0</v>
      </c>
      <c r="W194" s="394">
        <f t="shared" si="132"/>
        <v>0</v>
      </c>
      <c r="X194" s="394">
        <f t="shared" si="132"/>
        <v>52500</v>
      </c>
      <c r="Y194" s="394">
        <f t="shared" si="132"/>
        <v>0</v>
      </c>
      <c r="Z194" s="394">
        <f t="shared" si="132"/>
        <v>0</v>
      </c>
      <c r="AA194" s="394">
        <f t="shared" si="132"/>
        <v>0</v>
      </c>
      <c r="AB194" s="394">
        <f t="shared" si="132"/>
        <v>29567</v>
      </c>
      <c r="AC194" s="394">
        <f t="shared" si="132"/>
        <v>0</v>
      </c>
      <c r="AD194" s="394">
        <f t="shared" si="132"/>
        <v>0</v>
      </c>
      <c r="AE194" s="394">
        <f t="shared" si="132"/>
        <v>0</v>
      </c>
      <c r="AF194" s="394">
        <f t="shared" ref="AF194:AG194" si="133">AF195+AF200</f>
        <v>630</v>
      </c>
      <c r="AG194" s="394">
        <f t="shared" si="133"/>
        <v>1199</v>
      </c>
      <c r="AH194" s="394">
        <f t="shared" ref="AH194:AK194" si="134">AH195+AH200</f>
        <v>28998</v>
      </c>
      <c r="AI194" s="394">
        <f t="shared" si="134"/>
        <v>0</v>
      </c>
      <c r="AJ194" s="394">
        <f t="shared" si="134"/>
        <v>0</v>
      </c>
      <c r="AK194" s="394">
        <f t="shared" si="134"/>
        <v>0</v>
      </c>
      <c r="AL194" s="393"/>
      <c r="AM194" s="400">
        <f t="shared" si="95"/>
        <v>-569</v>
      </c>
      <c r="AO194" s="397"/>
      <c r="AP194" s="397"/>
      <c r="AQ194" s="397"/>
      <c r="AR194" s="397"/>
      <c r="AS194" s="397"/>
      <c r="AT194" s="397"/>
      <c r="AU194" s="397"/>
      <c r="AV194" s="397"/>
      <c r="AW194" s="397"/>
    </row>
    <row r="195" spans="1:49" s="396" customFormat="1" ht="64.5" customHeight="1">
      <c r="A195" s="269" t="s">
        <v>587</v>
      </c>
      <c r="B195" s="270" t="s">
        <v>581</v>
      </c>
      <c r="C195" s="393"/>
      <c r="D195" s="261"/>
      <c r="E195" s="261"/>
      <c r="F195" s="393" t="s">
        <v>975</v>
      </c>
      <c r="G195" s="261"/>
      <c r="H195" s="394">
        <f>SUM(H196:H199)</f>
        <v>89003</v>
      </c>
      <c r="I195" s="394">
        <f t="shared" ref="I195:AE195" si="135">SUM(I196:I199)</f>
        <v>39800</v>
      </c>
      <c r="J195" s="394">
        <f t="shared" si="135"/>
        <v>15000</v>
      </c>
      <c r="K195" s="394">
        <f t="shared" si="135"/>
        <v>15000</v>
      </c>
      <c r="L195" s="394">
        <f t="shared" si="135"/>
        <v>9182.67</v>
      </c>
      <c r="M195" s="394">
        <f t="shared" si="135"/>
        <v>9182.67</v>
      </c>
      <c r="N195" s="394">
        <f t="shared" si="135"/>
        <v>9182.67</v>
      </c>
      <c r="O195" s="394">
        <f t="shared" si="135"/>
        <v>9182.67</v>
      </c>
      <c r="P195" s="394">
        <f t="shared" si="135"/>
        <v>15000</v>
      </c>
      <c r="Q195" s="394">
        <f t="shared" si="135"/>
        <v>15000</v>
      </c>
      <c r="R195" s="394">
        <f t="shared" si="135"/>
        <v>15000</v>
      </c>
      <c r="S195" s="394">
        <f t="shared" si="135"/>
        <v>15000</v>
      </c>
      <c r="T195" s="394">
        <f t="shared" si="135"/>
        <v>35600</v>
      </c>
      <c r="U195" s="394">
        <f t="shared" si="135"/>
        <v>0</v>
      </c>
      <c r="V195" s="394">
        <f t="shared" si="135"/>
        <v>0</v>
      </c>
      <c r="W195" s="394">
        <f t="shared" si="135"/>
        <v>0</v>
      </c>
      <c r="X195" s="394">
        <f t="shared" si="135"/>
        <v>16000</v>
      </c>
      <c r="Y195" s="394">
        <f t="shared" si="135"/>
        <v>0</v>
      </c>
      <c r="Z195" s="394">
        <f t="shared" si="135"/>
        <v>0</v>
      </c>
      <c r="AA195" s="394">
        <f t="shared" si="135"/>
        <v>0</v>
      </c>
      <c r="AB195" s="394">
        <f t="shared" si="135"/>
        <v>19600</v>
      </c>
      <c r="AC195" s="394">
        <f t="shared" si="135"/>
        <v>0</v>
      </c>
      <c r="AD195" s="394">
        <f t="shared" si="135"/>
        <v>0</v>
      </c>
      <c r="AE195" s="394">
        <f t="shared" si="135"/>
        <v>0</v>
      </c>
      <c r="AF195" s="394">
        <f t="shared" ref="AF195:AG195" si="136">SUM(AF196:AF199)</f>
        <v>0</v>
      </c>
      <c r="AG195" s="394">
        <f t="shared" si="136"/>
        <v>0</v>
      </c>
      <c r="AH195" s="394">
        <f t="shared" ref="AH195:AK195" si="137">SUM(AH196:AH199)</f>
        <v>19600</v>
      </c>
      <c r="AI195" s="394">
        <f t="shared" si="137"/>
        <v>0</v>
      </c>
      <c r="AJ195" s="394">
        <f t="shared" si="137"/>
        <v>0</v>
      </c>
      <c r="AK195" s="394">
        <f t="shared" si="137"/>
        <v>0</v>
      </c>
      <c r="AL195" s="393"/>
      <c r="AM195" s="400">
        <f t="shared" si="95"/>
        <v>0</v>
      </c>
      <c r="AO195" s="397"/>
      <c r="AP195" s="397"/>
      <c r="AQ195" s="397"/>
      <c r="AR195" s="397"/>
      <c r="AS195" s="397"/>
      <c r="AT195" s="397"/>
      <c r="AU195" s="397"/>
      <c r="AV195" s="397"/>
      <c r="AW195" s="397"/>
    </row>
    <row r="196" spans="1:49" s="390" customFormat="1" ht="69.75" customHeight="1">
      <c r="A196" s="402">
        <v>1</v>
      </c>
      <c r="B196" s="399" t="s">
        <v>582</v>
      </c>
      <c r="C196" s="388" t="s">
        <v>39</v>
      </c>
      <c r="D196" s="260" t="s">
        <v>1228</v>
      </c>
      <c r="E196" s="260" t="s">
        <v>1229</v>
      </c>
      <c r="F196" s="388" t="s">
        <v>1165</v>
      </c>
      <c r="G196" s="260" t="s">
        <v>1991</v>
      </c>
      <c r="H196" s="339">
        <v>16000</v>
      </c>
      <c r="I196" s="339">
        <v>4800</v>
      </c>
      <c r="J196" s="339"/>
      <c r="K196" s="339"/>
      <c r="L196" s="339"/>
      <c r="M196" s="339"/>
      <c r="N196" s="339"/>
      <c r="O196" s="339"/>
      <c r="P196" s="339"/>
      <c r="Q196" s="339"/>
      <c r="R196" s="339">
        <v>0</v>
      </c>
      <c r="S196" s="339">
        <v>0</v>
      </c>
      <c r="T196" s="339">
        <v>4800</v>
      </c>
      <c r="U196" s="339"/>
      <c r="V196" s="339"/>
      <c r="W196" s="339"/>
      <c r="X196" s="339">
        <v>0</v>
      </c>
      <c r="Y196" s="339"/>
      <c r="Z196" s="339"/>
      <c r="AA196" s="339"/>
      <c r="AB196" s="339">
        <v>4800</v>
      </c>
      <c r="AC196" s="339"/>
      <c r="AD196" s="339"/>
      <c r="AE196" s="339"/>
      <c r="AF196" s="339">
        <f t="shared" si="85"/>
        <v>0</v>
      </c>
      <c r="AG196" s="339">
        <f t="shared" si="86"/>
        <v>0</v>
      </c>
      <c r="AH196" s="339">
        <v>4800</v>
      </c>
      <c r="AI196" s="339"/>
      <c r="AJ196" s="339"/>
      <c r="AK196" s="339"/>
      <c r="AL196" s="388"/>
      <c r="AM196" s="400">
        <f t="shared" si="95"/>
        <v>0</v>
      </c>
      <c r="AO196" s="391"/>
      <c r="AP196" s="391"/>
      <c r="AQ196" s="391">
        <v>1</v>
      </c>
      <c r="AR196" s="391"/>
      <c r="AS196" s="391"/>
      <c r="AT196" s="391"/>
      <c r="AU196" s="391"/>
      <c r="AV196" s="391">
        <v>1</v>
      </c>
      <c r="AW196" s="391" t="s">
        <v>1164</v>
      </c>
    </row>
    <row r="197" spans="1:49" s="390" customFormat="1" ht="67.5" customHeight="1">
      <c r="A197" s="402">
        <v>2</v>
      </c>
      <c r="B197" s="399" t="s">
        <v>583</v>
      </c>
      <c r="C197" s="388" t="s">
        <v>39</v>
      </c>
      <c r="D197" s="260" t="s">
        <v>1228</v>
      </c>
      <c r="E197" s="260" t="s">
        <v>1230</v>
      </c>
      <c r="F197" s="388" t="s">
        <v>1165</v>
      </c>
      <c r="G197" s="260" t="s">
        <v>1989</v>
      </c>
      <c r="H197" s="339">
        <v>17703</v>
      </c>
      <c r="I197" s="339">
        <v>5311</v>
      </c>
      <c r="J197" s="339"/>
      <c r="K197" s="339"/>
      <c r="L197" s="339"/>
      <c r="M197" s="339"/>
      <c r="N197" s="339"/>
      <c r="O197" s="339"/>
      <c r="P197" s="339"/>
      <c r="Q197" s="339"/>
      <c r="R197" s="339">
        <v>0</v>
      </c>
      <c r="S197" s="339">
        <v>0</v>
      </c>
      <c r="T197" s="339">
        <v>5311</v>
      </c>
      <c r="U197" s="339"/>
      <c r="V197" s="339"/>
      <c r="W197" s="339"/>
      <c r="X197" s="339">
        <v>0</v>
      </c>
      <c r="Y197" s="339"/>
      <c r="Z197" s="339"/>
      <c r="AA197" s="339"/>
      <c r="AB197" s="339">
        <v>5311</v>
      </c>
      <c r="AC197" s="339"/>
      <c r="AD197" s="339"/>
      <c r="AE197" s="339"/>
      <c r="AF197" s="339">
        <f t="shared" ref="AF197:AF232" si="138">IF(AH197&gt;AB197,AH197-AB197,0)</f>
        <v>0</v>
      </c>
      <c r="AG197" s="339">
        <f t="shared" ref="AG197:AG232" si="139">IF(AB197&gt;AH197,AB197-AH197,0)</f>
        <v>0</v>
      </c>
      <c r="AH197" s="339">
        <v>5311</v>
      </c>
      <c r="AI197" s="339"/>
      <c r="AJ197" s="339"/>
      <c r="AK197" s="339"/>
      <c r="AL197" s="388"/>
      <c r="AM197" s="400">
        <f t="shared" si="95"/>
        <v>0</v>
      </c>
      <c r="AO197" s="391"/>
      <c r="AP197" s="391"/>
      <c r="AQ197" s="391">
        <v>1</v>
      </c>
      <c r="AR197" s="391"/>
      <c r="AS197" s="391"/>
      <c r="AT197" s="391"/>
      <c r="AU197" s="391"/>
      <c r="AV197" s="391">
        <v>1</v>
      </c>
      <c r="AW197" s="391" t="s">
        <v>1164</v>
      </c>
    </row>
    <row r="198" spans="1:49" s="390" customFormat="1" ht="69.75" customHeight="1">
      <c r="A198" s="402">
        <v>3</v>
      </c>
      <c r="B198" s="399" t="s">
        <v>584</v>
      </c>
      <c r="C198" s="388" t="s">
        <v>39</v>
      </c>
      <c r="D198" s="260" t="s">
        <v>1228</v>
      </c>
      <c r="E198" s="260" t="s">
        <v>1231</v>
      </c>
      <c r="F198" s="388" t="s">
        <v>1165</v>
      </c>
      <c r="G198" s="260" t="s">
        <v>1990</v>
      </c>
      <c r="H198" s="339">
        <v>15500</v>
      </c>
      <c r="I198" s="339">
        <v>4650</v>
      </c>
      <c r="J198" s="339"/>
      <c r="K198" s="339"/>
      <c r="L198" s="339"/>
      <c r="M198" s="339"/>
      <c r="N198" s="339"/>
      <c r="O198" s="339"/>
      <c r="P198" s="339"/>
      <c r="Q198" s="339"/>
      <c r="R198" s="339">
        <v>0</v>
      </c>
      <c r="S198" s="339">
        <v>0</v>
      </c>
      <c r="T198" s="339">
        <v>4650</v>
      </c>
      <c r="U198" s="339"/>
      <c r="V198" s="339"/>
      <c r="W198" s="339"/>
      <c r="X198" s="339">
        <v>0</v>
      </c>
      <c r="Y198" s="339"/>
      <c r="Z198" s="339"/>
      <c r="AA198" s="339"/>
      <c r="AB198" s="339">
        <v>4650</v>
      </c>
      <c r="AC198" s="339"/>
      <c r="AD198" s="339"/>
      <c r="AE198" s="339"/>
      <c r="AF198" s="339">
        <f t="shared" si="138"/>
        <v>0</v>
      </c>
      <c r="AG198" s="339">
        <f t="shared" si="139"/>
        <v>0</v>
      </c>
      <c r="AH198" s="339">
        <v>4650</v>
      </c>
      <c r="AI198" s="339"/>
      <c r="AJ198" s="339"/>
      <c r="AK198" s="339"/>
      <c r="AL198" s="388"/>
      <c r="AM198" s="400">
        <f t="shared" si="95"/>
        <v>0</v>
      </c>
      <c r="AO198" s="391"/>
      <c r="AP198" s="391"/>
      <c r="AQ198" s="391">
        <v>1</v>
      </c>
      <c r="AR198" s="391"/>
      <c r="AS198" s="391"/>
      <c r="AT198" s="391"/>
      <c r="AU198" s="391"/>
      <c r="AV198" s="391">
        <v>1</v>
      </c>
      <c r="AW198" s="391" t="s">
        <v>1219</v>
      </c>
    </row>
    <row r="199" spans="1:49" s="390" customFormat="1" ht="76.5" customHeight="1">
      <c r="A199" s="402">
        <v>4</v>
      </c>
      <c r="B199" s="399" t="s">
        <v>585</v>
      </c>
      <c r="C199" s="388" t="s">
        <v>39</v>
      </c>
      <c r="D199" s="260"/>
      <c r="E199" s="260"/>
      <c r="F199" s="388" t="s">
        <v>975</v>
      </c>
      <c r="G199" s="260" t="s">
        <v>804</v>
      </c>
      <c r="H199" s="339">
        <v>39800</v>
      </c>
      <c r="I199" s="339">
        <v>25039</v>
      </c>
      <c r="J199" s="339">
        <v>15000</v>
      </c>
      <c r="K199" s="339">
        <v>15000</v>
      </c>
      <c r="L199" s="339">
        <v>9182.67</v>
      </c>
      <c r="M199" s="339">
        <v>9182.67</v>
      </c>
      <c r="N199" s="339">
        <v>9182.67</v>
      </c>
      <c r="O199" s="339">
        <v>9182.67</v>
      </c>
      <c r="P199" s="339">
        <v>15000</v>
      </c>
      <c r="Q199" s="339">
        <v>15000</v>
      </c>
      <c r="R199" s="339">
        <v>15000</v>
      </c>
      <c r="S199" s="339">
        <v>15000</v>
      </c>
      <c r="T199" s="339">
        <v>20839</v>
      </c>
      <c r="U199" s="339"/>
      <c r="V199" s="339"/>
      <c r="W199" s="339"/>
      <c r="X199" s="339">
        <v>16000</v>
      </c>
      <c r="Y199" s="339"/>
      <c r="Z199" s="339"/>
      <c r="AA199" s="339"/>
      <c r="AB199" s="339">
        <v>4839</v>
      </c>
      <c r="AC199" s="339"/>
      <c r="AD199" s="339"/>
      <c r="AE199" s="339"/>
      <c r="AF199" s="339">
        <f t="shared" si="138"/>
        <v>0</v>
      </c>
      <c r="AG199" s="339">
        <f t="shared" si="139"/>
        <v>0</v>
      </c>
      <c r="AH199" s="339">
        <v>4839</v>
      </c>
      <c r="AI199" s="339"/>
      <c r="AJ199" s="339"/>
      <c r="AK199" s="339"/>
      <c r="AL199" s="388"/>
      <c r="AM199" s="400">
        <f t="shared" si="95"/>
        <v>0</v>
      </c>
      <c r="AO199" s="391"/>
      <c r="AP199" s="391"/>
      <c r="AQ199" s="391">
        <v>1</v>
      </c>
      <c r="AR199" s="391"/>
      <c r="AS199" s="391"/>
      <c r="AT199" s="391"/>
      <c r="AU199" s="391"/>
      <c r="AV199" s="391">
        <v>1</v>
      </c>
      <c r="AW199" s="391" t="s">
        <v>1219</v>
      </c>
    </row>
    <row r="200" spans="1:49" s="396" customFormat="1" ht="64.5" customHeight="1">
      <c r="A200" s="269" t="s">
        <v>587</v>
      </c>
      <c r="B200" s="270" t="s">
        <v>1232</v>
      </c>
      <c r="C200" s="393"/>
      <c r="D200" s="261"/>
      <c r="E200" s="261"/>
      <c r="F200" s="393"/>
      <c r="G200" s="261"/>
      <c r="H200" s="394">
        <f t="shared" ref="H200:AG200" si="140">SUM(H201:H203)</f>
        <v>143000</v>
      </c>
      <c r="I200" s="394">
        <f t="shared" si="140"/>
        <v>47327</v>
      </c>
      <c r="J200" s="394">
        <f t="shared" si="140"/>
        <v>32000</v>
      </c>
      <c r="K200" s="394">
        <f t="shared" si="140"/>
        <v>32000</v>
      </c>
      <c r="L200" s="394">
        <f t="shared" si="140"/>
        <v>15037.986079</v>
      </c>
      <c r="M200" s="394">
        <f t="shared" si="140"/>
        <v>15037.986079</v>
      </c>
      <c r="N200" s="394">
        <f t="shared" si="140"/>
        <v>22456.976079</v>
      </c>
      <c r="O200" s="394">
        <f t="shared" si="140"/>
        <v>22456.976079</v>
      </c>
      <c r="P200" s="394">
        <f t="shared" si="140"/>
        <v>32000</v>
      </c>
      <c r="Q200" s="394">
        <f t="shared" si="140"/>
        <v>32000</v>
      </c>
      <c r="R200" s="394">
        <f t="shared" si="140"/>
        <v>32000</v>
      </c>
      <c r="S200" s="394">
        <f t="shared" si="140"/>
        <v>32000</v>
      </c>
      <c r="T200" s="394">
        <f t="shared" si="140"/>
        <v>45898</v>
      </c>
      <c r="U200" s="394">
        <f t="shared" si="140"/>
        <v>0</v>
      </c>
      <c r="V200" s="394">
        <f t="shared" si="140"/>
        <v>0</v>
      </c>
      <c r="W200" s="394">
        <f t="shared" si="140"/>
        <v>0</v>
      </c>
      <c r="X200" s="394">
        <f t="shared" si="140"/>
        <v>36500</v>
      </c>
      <c r="Y200" s="394">
        <f t="shared" si="140"/>
        <v>0</v>
      </c>
      <c r="Z200" s="394">
        <f t="shared" si="140"/>
        <v>0</v>
      </c>
      <c r="AA200" s="394">
        <f t="shared" si="140"/>
        <v>0</v>
      </c>
      <c r="AB200" s="394">
        <f t="shared" si="140"/>
        <v>9967</v>
      </c>
      <c r="AC200" s="394">
        <f t="shared" si="140"/>
        <v>0</v>
      </c>
      <c r="AD200" s="394">
        <f t="shared" si="140"/>
        <v>0</v>
      </c>
      <c r="AE200" s="394">
        <f t="shared" si="140"/>
        <v>0</v>
      </c>
      <c r="AF200" s="394">
        <f t="shared" si="140"/>
        <v>630</v>
      </c>
      <c r="AG200" s="394">
        <f t="shared" si="140"/>
        <v>1199</v>
      </c>
      <c r="AH200" s="394">
        <f t="shared" ref="AH200:AK200" si="141">SUM(AH201:AH203)</f>
        <v>9398</v>
      </c>
      <c r="AI200" s="394">
        <f t="shared" si="141"/>
        <v>0</v>
      </c>
      <c r="AJ200" s="394">
        <f t="shared" si="141"/>
        <v>0</v>
      </c>
      <c r="AK200" s="394">
        <f t="shared" si="141"/>
        <v>0</v>
      </c>
      <c r="AL200" s="393"/>
      <c r="AM200" s="400">
        <f t="shared" si="95"/>
        <v>-569</v>
      </c>
      <c r="AO200" s="397"/>
      <c r="AP200" s="397"/>
      <c r="AQ200" s="397"/>
      <c r="AR200" s="397"/>
      <c r="AS200" s="397"/>
      <c r="AT200" s="397"/>
      <c r="AU200" s="397"/>
      <c r="AV200" s="397"/>
      <c r="AW200" s="397"/>
    </row>
    <row r="201" spans="1:49" s="390" customFormat="1" ht="59.25" customHeight="1">
      <c r="A201" s="398">
        <v>1</v>
      </c>
      <c r="B201" s="399" t="s">
        <v>461</v>
      </c>
      <c r="C201" s="388" t="s">
        <v>38</v>
      </c>
      <c r="D201" s="294" t="s">
        <v>229</v>
      </c>
      <c r="E201" s="294"/>
      <c r="F201" s="388" t="s">
        <v>975</v>
      </c>
      <c r="G201" s="260" t="s">
        <v>1233</v>
      </c>
      <c r="H201" s="339">
        <v>80000</v>
      </c>
      <c r="I201" s="339">
        <v>26868</v>
      </c>
      <c r="J201" s="339">
        <v>20000</v>
      </c>
      <c r="K201" s="339">
        <v>20000</v>
      </c>
      <c r="L201" s="339">
        <v>10049.188</v>
      </c>
      <c r="M201" s="339">
        <v>10049.188</v>
      </c>
      <c r="N201" s="339">
        <v>17468.178</v>
      </c>
      <c r="O201" s="339">
        <v>17468.178</v>
      </c>
      <c r="P201" s="339">
        <v>20000</v>
      </c>
      <c r="Q201" s="339">
        <v>20000</v>
      </c>
      <c r="R201" s="339">
        <v>20000</v>
      </c>
      <c r="S201" s="339">
        <v>20000</v>
      </c>
      <c r="T201" s="339">
        <v>26868</v>
      </c>
      <c r="U201" s="339"/>
      <c r="V201" s="339"/>
      <c r="W201" s="339"/>
      <c r="X201" s="339">
        <v>20000</v>
      </c>
      <c r="Y201" s="339"/>
      <c r="Z201" s="339"/>
      <c r="AA201" s="339"/>
      <c r="AB201" s="339">
        <v>6868</v>
      </c>
      <c r="AC201" s="339"/>
      <c r="AD201" s="339"/>
      <c r="AE201" s="339"/>
      <c r="AF201" s="339">
        <f t="shared" si="138"/>
        <v>0</v>
      </c>
      <c r="AG201" s="339">
        <f t="shared" si="139"/>
        <v>0</v>
      </c>
      <c r="AH201" s="339">
        <v>6868</v>
      </c>
      <c r="AI201" s="339"/>
      <c r="AJ201" s="339"/>
      <c r="AK201" s="339"/>
      <c r="AL201" s="388" t="s">
        <v>1234</v>
      </c>
      <c r="AM201" s="400">
        <f t="shared" si="95"/>
        <v>0</v>
      </c>
      <c r="AO201" s="391"/>
      <c r="AP201" s="391"/>
      <c r="AQ201" s="391">
        <v>1</v>
      </c>
      <c r="AR201" s="391"/>
      <c r="AS201" s="391"/>
      <c r="AT201" s="391"/>
      <c r="AU201" s="391"/>
      <c r="AV201" s="391">
        <v>1</v>
      </c>
      <c r="AW201" s="391" t="s">
        <v>1235</v>
      </c>
    </row>
    <row r="202" spans="1:49" s="390" customFormat="1" ht="95.25" customHeight="1">
      <c r="A202" s="398">
        <v>2</v>
      </c>
      <c r="B202" s="399" t="s">
        <v>1021</v>
      </c>
      <c r="C202" s="388"/>
      <c r="D202" s="294"/>
      <c r="E202" s="294"/>
      <c r="F202" s="388"/>
      <c r="G202" s="260" t="s">
        <v>976</v>
      </c>
      <c r="H202" s="339">
        <v>35000</v>
      </c>
      <c r="I202" s="339">
        <v>6459</v>
      </c>
      <c r="J202" s="339"/>
      <c r="K202" s="339"/>
      <c r="L202" s="339"/>
      <c r="M202" s="339"/>
      <c r="N202" s="339"/>
      <c r="O202" s="339"/>
      <c r="P202" s="339"/>
      <c r="Q202" s="339"/>
      <c r="R202" s="339"/>
      <c r="S202" s="339"/>
      <c r="T202" s="339">
        <v>5260</v>
      </c>
      <c r="U202" s="339"/>
      <c r="V202" s="339"/>
      <c r="W202" s="339"/>
      <c r="X202" s="339">
        <v>4500</v>
      </c>
      <c r="Y202" s="339"/>
      <c r="Z202" s="339"/>
      <c r="AA202" s="339"/>
      <c r="AB202" s="339">
        <v>1959</v>
      </c>
      <c r="AC202" s="339"/>
      <c r="AD202" s="339"/>
      <c r="AE202" s="339"/>
      <c r="AF202" s="339">
        <f t="shared" si="138"/>
        <v>0</v>
      </c>
      <c r="AG202" s="339">
        <f t="shared" si="139"/>
        <v>1199</v>
      </c>
      <c r="AH202" s="339">
        <v>760</v>
      </c>
      <c r="AI202" s="339"/>
      <c r="AJ202" s="339"/>
      <c r="AK202" s="339"/>
      <c r="AL202" s="388" t="s">
        <v>1234</v>
      </c>
      <c r="AM202" s="400">
        <f t="shared" si="95"/>
        <v>-1199</v>
      </c>
      <c r="AO202" s="391"/>
      <c r="AP202" s="391"/>
      <c r="AQ202" s="391">
        <v>1</v>
      </c>
      <c r="AR202" s="391"/>
      <c r="AS202" s="391"/>
      <c r="AT202" s="391"/>
      <c r="AU202" s="391"/>
      <c r="AV202" s="391">
        <v>1</v>
      </c>
      <c r="AW202" s="391" t="s">
        <v>1164</v>
      </c>
    </row>
    <row r="203" spans="1:49" s="390" customFormat="1" ht="46.15">
      <c r="A203" s="398">
        <v>3</v>
      </c>
      <c r="B203" s="399" t="s">
        <v>485</v>
      </c>
      <c r="C203" s="388" t="s">
        <v>39</v>
      </c>
      <c r="D203" s="260" t="s">
        <v>1236</v>
      </c>
      <c r="E203" s="260"/>
      <c r="F203" s="388" t="s">
        <v>975</v>
      </c>
      <c r="G203" s="260" t="s">
        <v>965</v>
      </c>
      <c r="H203" s="339">
        <v>28000</v>
      </c>
      <c r="I203" s="339">
        <v>14000</v>
      </c>
      <c r="J203" s="339">
        <v>12000</v>
      </c>
      <c r="K203" s="339">
        <v>12000</v>
      </c>
      <c r="L203" s="339">
        <v>4988.7980790000001</v>
      </c>
      <c r="M203" s="339">
        <v>4988.7980790000001</v>
      </c>
      <c r="N203" s="339">
        <v>4988.7980790000001</v>
      </c>
      <c r="O203" s="339">
        <v>4988.7980790000001</v>
      </c>
      <c r="P203" s="339">
        <v>12000</v>
      </c>
      <c r="Q203" s="339">
        <v>12000</v>
      </c>
      <c r="R203" s="339">
        <v>12000</v>
      </c>
      <c r="S203" s="339">
        <v>12000</v>
      </c>
      <c r="T203" s="339">
        <v>13770</v>
      </c>
      <c r="U203" s="339"/>
      <c r="V203" s="339"/>
      <c r="W203" s="339"/>
      <c r="X203" s="339">
        <v>12000</v>
      </c>
      <c r="Y203" s="339"/>
      <c r="Z203" s="339"/>
      <c r="AA203" s="339"/>
      <c r="AB203" s="339">
        <v>1140</v>
      </c>
      <c r="AC203" s="339"/>
      <c r="AD203" s="339"/>
      <c r="AE203" s="339"/>
      <c r="AF203" s="339">
        <f t="shared" si="138"/>
        <v>630</v>
      </c>
      <c r="AG203" s="339">
        <f t="shared" si="139"/>
        <v>0</v>
      </c>
      <c r="AH203" s="339">
        <v>1770</v>
      </c>
      <c r="AI203" s="339"/>
      <c r="AJ203" s="339"/>
      <c r="AK203" s="339"/>
      <c r="AL203" s="388" t="s">
        <v>1234</v>
      </c>
      <c r="AM203" s="400">
        <f t="shared" si="95"/>
        <v>630</v>
      </c>
      <c r="AO203" s="391"/>
      <c r="AP203" s="391"/>
      <c r="AQ203" s="391">
        <v>1</v>
      </c>
      <c r="AR203" s="391"/>
      <c r="AS203" s="391"/>
      <c r="AT203" s="391"/>
      <c r="AU203" s="391"/>
      <c r="AV203" s="391">
        <v>1</v>
      </c>
      <c r="AW203" s="391" t="s">
        <v>1187</v>
      </c>
    </row>
    <row r="204" spans="1:49" s="396" customFormat="1" ht="45" customHeight="1">
      <c r="A204" s="269" t="s">
        <v>39</v>
      </c>
      <c r="B204" s="270" t="s">
        <v>1237</v>
      </c>
      <c r="C204" s="393"/>
      <c r="D204" s="261"/>
      <c r="E204" s="261"/>
      <c r="F204" s="393"/>
      <c r="G204" s="261"/>
      <c r="H204" s="394"/>
      <c r="I204" s="394"/>
      <c r="J204" s="394">
        <v>65400</v>
      </c>
      <c r="K204" s="394">
        <v>65400</v>
      </c>
      <c r="L204" s="394"/>
      <c r="M204" s="394"/>
      <c r="N204" s="394">
        <v>10961.0388</v>
      </c>
      <c r="O204" s="394">
        <v>10961.0388</v>
      </c>
      <c r="P204" s="394">
        <v>65400</v>
      </c>
      <c r="Q204" s="394">
        <v>65400</v>
      </c>
      <c r="R204" s="394"/>
      <c r="S204" s="394"/>
      <c r="T204" s="394">
        <v>214200</v>
      </c>
      <c r="U204" s="394"/>
      <c r="V204" s="394"/>
      <c r="W204" s="394"/>
      <c r="X204" s="394">
        <v>159000</v>
      </c>
      <c r="Y204" s="394"/>
      <c r="Z204" s="394"/>
      <c r="AA204" s="394"/>
      <c r="AB204" s="394">
        <v>55200</v>
      </c>
      <c r="AC204" s="394"/>
      <c r="AD204" s="394"/>
      <c r="AE204" s="394"/>
      <c r="AF204" s="339">
        <f t="shared" si="138"/>
        <v>0</v>
      </c>
      <c r="AG204" s="339">
        <f t="shared" si="139"/>
        <v>0</v>
      </c>
      <c r="AH204" s="394">
        <v>55200</v>
      </c>
      <c r="AI204" s="394"/>
      <c r="AJ204" s="394"/>
      <c r="AK204" s="394"/>
      <c r="AL204" s="393"/>
      <c r="AM204" s="395">
        <f t="shared" si="95"/>
        <v>0</v>
      </c>
      <c r="AO204" s="397"/>
      <c r="AP204" s="397"/>
      <c r="AQ204" s="397"/>
      <c r="AR204" s="397"/>
      <c r="AS204" s="397"/>
      <c r="AT204" s="397"/>
      <c r="AU204" s="397"/>
      <c r="AV204" s="397"/>
      <c r="AW204" s="397"/>
    </row>
    <row r="205" spans="1:49" s="396" customFormat="1" ht="38.25" customHeight="1">
      <c r="A205" s="269" t="s">
        <v>1069</v>
      </c>
      <c r="B205" s="270" t="s">
        <v>586</v>
      </c>
      <c r="C205" s="393"/>
      <c r="D205" s="261"/>
      <c r="E205" s="261"/>
      <c r="F205" s="393" t="s">
        <v>975</v>
      </c>
      <c r="G205" s="261"/>
      <c r="H205" s="394">
        <f t="shared" ref="H205:AE205" si="142">H206+H217+H223+H230</f>
        <v>156536</v>
      </c>
      <c r="I205" s="394">
        <f t="shared" si="142"/>
        <v>127192</v>
      </c>
      <c r="J205" s="394">
        <f t="shared" si="142"/>
        <v>18010</v>
      </c>
      <c r="K205" s="394">
        <f t="shared" si="142"/>
        <v>18010</v>
      </c>
      <c r="L205" s="394">
        <f t="shared" si="142"/>
        <v>2276.1509999999998</v>
      </c>
      <c r="M205" s="394">
        <f t="shared" si="142"/>
        <v>2276.1509999999998</v>
      </c>
      <c r="N205" s="394">
        <f t="shared" si="142"/>
        <v>3981.9140000000002</v>
      </c>
      <c r="O205" s="394">
        <f t="shared" si="142"/>
        <v>3981.9140000000002</v>
      </c>
      <c r="P205" s="394">
        <f t="shared" si="142"/>
        <v>18010</v>
      </c>
      <c r="Q205" s="394">
        <f t="shared" si="142"/>
        <v>18010</v>
      </c>
      <c r="R205" s="394">
        <f t="shared" si="142"/>
        <v>29652</v>
      </c>
      <c r="S205" s="394">
        <f t="shared" si="142"/>
        <v>29652</v>
      </c>
      <c r="T205" s="394">
        <f t="shared" si="142"/>
        <v>65067</v>
      </c>
      <c r="U205" s="394">
        <f t="shared" si="142"/>
        <v>0</v>
      </c>
      <c r="V205" s="394">
        <f t="shared" si="142"/>
        <v>0</v>
      </c>
      <c r="W205" s="394">
        <f t="shared" si="142"/>
        <v>0</v>
      </c>
      <c r="X205" s="394">
        <f t="shared" si="142"/>
        <v>33067</v>
      </c>
      <c r="Y205" s="394">
        <f t="shared" si="142"/>
        <v>0</v>
      </c>
      <c r="Z205" s="394">
        <f t="shared" si="142"/>
        <v>0</v>
      </c>
      <c r="AA205" s="394">
        <f t="shared" si="142"/>
        <v>0</v>
      </c>
      <c r="AB205" s="394">
        <f t="shared" si="142"/>
        <v>32000</v>
      </c>
      <c r="AC205" s="394">
        <f t="shared" si="142"/>
        <v>0</v>
      </c>
      <c r="AD205" s="394">
        <f t="shared" si="142"/>
        <v>0</v>
      </c>
      <c r="AE205" s="394">
        <f t="shared" si="142"/>
        <v>0</v>
      </c>
      <c r="AF205" s="394">
        <f t="shared" ref="AF205:AG205" si="143">AF206+AF217+AF223+AF230</f>
        <v>718</v>
      </c>
      <c r="AG205" s="394">
        <f t="shared" si="143"/>
        <v>718</v>
      </c>
      <c r="AH205" s="394">
        <f t="shared" ref="AH205:AK205" si="144">AH206+AH217+AH223+AH230</f>
        <v>32000</v>
      </c>
      <c r="AI205" s="394">
        <f t="shared" si="144"/>
        <v>0</v>
      </c>
      <c r="AJ205" s="394">
        <f t="shared" si="144"/>
        <v>0</v>
      </c>
      <c r="AK205" s="394">
        <f t="shared" si="144"/>
        <v>0</v>
      </c>
      <c r="AL205" s="393"/>
      <c r="AM205" s="400">
        <f t="shared" si="95"/>
        <v>0</v>
      </c>
      <c r="AO205" s="397"/>
      <c r="AP205" s="397"/>
      <c r="AQ205" s="397"/>
      <c r="AR205" s="397"/>
      <c r="AS205" s="397"/>
      <c r="AT205" s="397"/>
      <c r="AU205" s="397"/>
      <c r="AV205" s="397"/>
      <c r="AW205" s="397"/>
    </row>
    <row r="206" spans="1:49" s="396" customFormat="1" ht="42.75" customHeight="1">
      <c r="A206" s="269" t="s">
        <v>33</v>
      </c>
      <c r="B206" s="270" t="s">
        <v>444</v>
      </c>
      <c r="C206" s="393"/>
      <c r="D206" s="261"/>
      <c r="E206" s="261"/>
      <c r="F206" s="393" t="s">
        <v>975</v>
      </c>
      <c r="G206" s="261"/>
      <c r="H206" s="394">
        <f>H207+H212+H214</f>
        <v>75836</v>
      </c>
      <c r="I206" s="394">
        <f t="shared" ref="I206:AE206" si="145">I207+I212+I214</f>
        <v>62477</v>
      </c>
      <c r="J206" s="394">
        <f t="shared" si="145"/>
        <v>10200</v>
      </c>
      <c r="K206" s="394">
        <f t="shared" si="145"/>
        <v>10200</v>
      </c>
      <c r="L206" s="394">
        <f t="shared" si="145"/>
        <v>1392.625</v>
      </c>
      <c r="M206" s="394">
        <f t="shared" si="145"/>
        <v>1392.625</v>
      </c>
      <c r="N206" s="394">
        <f t="shared" si="145"/>
        <v>2126.4650000000001</v>
      </c>
      <c r="O206" s="394">
        <f t="shared" si="145"/>
        <v>2126.4650000000001</v>
      </c>
      <c r="P206" s="394">
        <f t="shared" si="145"/>
        <v>10200</v>
      </c>
      <c r="Q206" s="394">
        <f t="shared" si="145"/>
        <v>10200</v>
      </c>
      <c r="R206" s="394">
        <f t="shared" si="145"/>
        <v>17442</v>
      </c>
      <c r="S206" s="394">
        <f t="shared" si="145"/>
        <v>17442</v>
      </c>
      <c r="T206" s="394">
        <f t="shared" si="145"/>
        <v>27795</v>
      </c>
      <c r="U206" s="394">
        <f t="shared" si="145"/>
        <v>0</v>
      </c>
      <c r="V206" s="394">
        <f t="shared" si="145"/>
        <v>0</v>
      </c>
      <c r="W206" s="394">
        <f t="shared" si="145"/>
        <v>0</v>
      </c>
      <c r="X206" s="394">
        <f t="shared" si="145"/>
        <v>20242</v>
      </c>
      <c r="Y206" s="394">
        <f t="shared" si="145"/>
        <v>0</v>
      </c>
      <c r="Z206" s="394">
        <f t="shared" si="145"/>
        <v>0</v>
      </c>
      <c r="AA206" s="394">
        <f t="shared" si="145"/>
        <v>0</v>
      </c>
      <c r="AB206" s="394">
        <f t="shared" si="145"/>
        <v>7640</v>
      </c>
      <c r="AC206" s="394">
        <f t="shared" si="145"/>
        <v>0</v>
      </c>
      <c r="AD206" s="394">
        <f t="shared" si="145"/>
        <v>0</v>
      </c>
      <c r="AE206" s="394">
        <f t="shared" si="145"/>
        <v>0</v>
      </c>
      <c r="AF206" s="394">
        <f t="shared" ref="AF206:AG206" si="146">AF207+AF212+AF214</f>
        <v>331</v>
      </c>
      <c r="AG206" s="394">
        <f t="shared" si="146"/>
        <v>418</v>
      </c>
      <c r="AH206" s="394">
        <f t="shared" ref="AH206:AK206" si="147">AH207+AH212+AH214</f>
        <v>7553</v>
      </c>
      <c r="AI206" s="394">
        <f t="shared" si="147"/>
        <v>0</v>
      </c>
      <c r="AJ206" s="394">
        <f t="shared" si="147"/>
        <v>0</v>
      </c>
      <c r="AK206" s="394">
        <f t="shared" si="147"/>
        <v>0</v>
      </c>
      <c r="AL206" s="393"/>
      <c r="AM206" s="400">
        <f t="shared" si="95"/>
        <v>-87</v>
      </c>
      <c r="AO206" s="397"/>
      <c r="AP206" s="397"/>
      <c r="AQ206" s="397"/>
      <c r="AR206" s="397"/>
      <c r="AS206" s="397"/>
      <c r="AT206" s="397"/>
      <c r="AU206" s="397"/>
      <c r="AV206" s="397"/>
      <c r="AW206" s="397"/>
    </row>
    <row r="207" spans="1:49" s="414" customFormat="1" ht="77.25" customHeight="1">
      <c r="A207" s="416" t="s">
        <v>120</v>
      </c>
      <c r="B207" s="417" t="s">
        <v>1195</v>
      </c>
      <c r="C207" s="412"/>
      <c r="D207" s="282"/>
      <c r="E207" s="282"/>
      <c r="F207" s="412" t="s">
        <v>975</v>
      </c>
      <c r="G207" s="282"/>
      <c r="H207" s="407">
        <f t="shared" ref="H207:AE207" si="148">SUM(H208:H211)</f>
        <v>35900</v>
      </c>
      <c r="I207" s="407">
        <f t="shared" si="148"/>
        <v>27117</v>
      </c>
      <c r="J207" s="407">
        <f t="shared" si="148"/>
        <v>10200</v>
      </c>
      <c r="K207" s="407">
        <f t="shared" si="148"/>
        <v>10200</v>
      </c>
      <c r="L207" s="407">
        <f t="shared" si="148"/>
        <v>1392.625</v>
      </c>
      <c r="M207" s="407">
        <f t="shared" si="148"/>
        <v>1392.625</v>
      </c>
      <c r="N207" s="407">
        <f t="shared" si="148"/>
        <v>2126.4650000000001</v>
      </c>
      <c r="O207" s="407">
        <f t="shared" si="148"/>
        <v>2126.4650000000001</v>
      </c>
      <c r="P207" s="407">
        <f t="shared" si="148"/>
        <v>10200</v>
      </c>
      <c r="Q207" s="407">
        <f t="shared" si="148"/>
        <v>10200</v>
      </c>
      <c r="R207" s="407">
        <f t="shared" si="148"/>
        <v>17442</v>
      </c>
      <c r="S207" s="407">
        <f t="shared" si="148"/>
        <v>17442</v>
      </c>
      <c r="T207" s="407">
        <f t="shared" si="148"/>
        <v>21682</v>
      </c>
      <c r="U207" s="407">
        <f t="shared" si="148"/>
        <v>0</v>
      </c>
      <c r="V207" s="407">
        <f t="shared" si="148"/>
        <v>0</v>
      </c>
      <c r="W207" s="407">
        <f t="shared" si="148"/>
        <v>0</v>
      </c>
      <c r="X207" s="407">
        <f t="shared" si="148"/>
        <v>20242</v>
      </c>
      <c r="Y207" s="407">
        <f t="shared" si="148"/>
        <v>0</v>
      </c>
      <c r="Z207" s="407">
        <f t="shared" si="148"/>
        <v>0</v>
      </c>
      <c r="AA207" s="407">
        <f t="shared" si="148"/>
        <v>0</v>
      </c>
      <c r="AB207" s="407">
        <f t="shared" si="148"/>
        <v>1471</v>
      </c>
      <c r="AC207" s="407">
        <f t="shared" si="148"/>
        <v>0</v>
      </c>
      <c r="AD207" s="407">
        <f t="shared" si="148"/>
        <v>0</v>
      </c>
      <c r="AE207" s="407">
        <f t="shared" si="148"/>
        <v>0</v>
      </c>
      <c r="AF207" s="407">
        <f t="shared" ref="AF207:AG207" si="149">SUM(AF208:AF211)</f>
        <v>0</v>
      </c>
      <c r="AG207" s="407">
        <f t="shared" si="149"/>
        <v>31</v>
      </c>
      <c r="AH207" s="407">
        <f t="shared" ref="AH207:AK207" si="150">SUM(AH208:AH211)</f>
        <v>1440</v>
      </c>
      <c r="AI207" s="407">
        <f t="shared" si="150"/>
        <v>0</v>
      </c>
      <c r="AJ207" s="407">
        <f t="shared" si="150"/>
        <v>0</v>
      </c>
      <c r="AK207" s="407">
        <f t="shared" si="150"/>
        <v>0</v>
      </c>
      <c r="AL207" s="412"/>
      <c r="AM207" s="400">
        <f t="shared" si="95"/>
        <v>-31</v>
      </c>
      <c r="AO207" s="415"/>
      <c r="AP207" s="415"/>
      <c r="AQ207" s="415"/>
      <c r="AR207" s="415"/>
      <c r="AS207" s="415"/>
      <c r="AT207" s="415"/>
      <c r="AU207" s="415"/>
      <c r="AV207" s="415"/>
      <c r="AW207" s="415"/>
    </row>
    <row r="208" spans="1:49" s="390" customFormat="1" ht="51" customHeight="1">
      <c r="A208" s="402" t="s">
        <v>144</v>
      </c>
      <c r="B208" s="399" t="s">
        <v>1018</v>
      </c>
      <c r="C208" s="388"/>
      <c r="D208" s="260"/>
      <c r="E208" s="260"/>
      <c r="F208" s="388"/>
      <c r="G208" s="260" t="s">
        <v>1020</v>
      </c>
      <c r="H208" s="339">
        <v>14900</v>
      </c>
      <c r="I208" s="339">
        <v>6117</v>
      </c>
      <c r="J208" s="339"/>
      <c r="K208" s="339"/>
      <c r="L208" s="339"/>
      <c r="M208" s="339"/>
      <c r="N208" s="339"/>
      <c r="O208" s="339"/>
      <c r="P208" s="339"/>
      <c r="Q208" s="339"/>
      <c r="R208" s="339"/>
      <c r="S208" s="339"/>
      <c r="T208" s="339">
        <v>887</v>
      </c>
      <c r="U208" s="339"/>
      <c r="V208" s="339"/>
      <c r="W208" s="339"/>
      <c r="X208" s="339"/>
      <c r="Y208" s="339"/>
      <c r="Z208" s="339"/>
      <c r="AA208" s="339"/>
      <c r="AB208" s="339">
        <v>887</v>
      </c>
      <c r="AC208" s="339"/>
      <c r="AD208" s="339"/>
      <c r="AE208" s="339"/>
      <c r="AF208" s="339">
        <f t="shared" si="138"/>
        <v>0</v>
      </c>
      <c r="AG208" s="339">
        <f t="shared" si="139"/>
        <v>0</v>
      </c>
      <c r="AH208" s="339">
        <v>887</v>
      </c>
      <c r="AI208" s="339"/>
      <c r="AJ208" s="339"/>
      <c r="AK208" s="339"/>
      <c r="AL208" s="388" t="s">
        <v>2009</v>
      </c>
      <c r="AM208" s="400">
        <f t="shared" si="95"/>
        <v>0</v>
      </c>
      <c r="AO208" s="391"/>
      <c r="AP208" s="391"/>
      <c r="AQ208" s="391">
        <v>1</v>
      </c>
      <c r="AR208" s="391"/>
      <c r="AS208" s="391"/>
      <c r="AT208" s="391"/>
      <c r="AU208" s="391"/>
      <c r="AV208" s="391">
        <v>1</v>
      </c>
      <c r="AW208" s="391" t="s">
        <v>1208</v>
      </c>
    </row>
    <row r="209" spans="1:49" s="390" customFormat="1" ht="81" customHeight="1">
      <c r="A209" s="402" t="s">
        <v>547</v>
      </c>
      <c r="B209" s="399" t="s">
        <v>600</v>
      </c>
      <c r="C209" s="388" t="s">
        <v>39</v>
      </c>
      <c r="D209" s="260" t="s">
        <v>229</v>
      </c>
      <c r="E209" s="260"/>
      <c r="F209" s="388"/>
      <c r="G209" s="260" t="s">
        <v>821</v>
      </c>
      <c r="H209" s="339">
        <v>3000</v>
      </c>
      <c r="I209" s="339">
        <v>3000</v>
      </c>
      <c r="J209" s="339"/>
      <c r="K209" s="339"/>
      <c r="L209" s="339"/>
      <c r="M209" s="339"/>
      <c r="N209" s="339"/>
      <c r="O209" s="339"/>
      <c r="P209" s="339"/>
      <c r="Q209" s="339"/>
      <c r="R209" s="339"/>
      <c r="S209" s="339"/>
      <c r="T209" s="339">
        <v>2895</v>
      </c>
      <c r="U209" s="339"/>
      <c r="V209" s="339"/>
      <c r="W209" s="339"/>
      <c r="X209" s="339">
        <v>2800</v>
      </c>
      <c r="Y209" s="339"/>
      <c r="Z209" s="339"/>
      <c r="AA209" s="339"/>
      <c r="AB209" s="339">
        <v>95</v>
      </c>
      <c r="AC209" s="339"/>
      <c r="AD209" s="339"/>
      <c r="AE209" s="339"/>
      <c r="AF209" s="339">
        <f t="shared" si="138"/>
        <v>0</v>
      </c>
      <c r="AG209" s="339">
        <f t="shared" si="139"/>
        <v>0</v>
      </c>
      <c r="AH209" s="339">
        <v>95</v>
      </c>
      <c r="AI209" s="339"/>
      <c r="AJ209" s="339"/>
      <c r="AK209" s="339"/>
      <c r="AL209" s="388" t="s">
        <v>2010</v>
      </c>
      <c r="AM209" s="400"/>
      <c r="AO209" s="391"/>
      <c r="AP209" s="391"/>
      <c r="AQ209" s="391">
        <v>1</v>
      </c>
      <c r="AR209" s="391"/>
      <c r="AS209" s="391"/>
      <c r="AT209" s="391"/>
      <c r="AU209" s="391"/>
      <c r="AV209" s="391">
        <v>1</v>
      </c>
      <c r="AW209" s="391" t="s">
        <v>1208</v>
      </c>
    </row>
    <row r="210" spans="1:49" s="390" customFormat="1" ht="52.5" customHeight="1">
      <c r="A210" s="402" t="s">
        <v>214</v>
      </c>
      <c r="B210" s="399" t="s">
        <v>602</v>
      </c>
      <c r="C210" s="388" t="s">
        <v>39</v>
      </c>
      <c r="D210" s="260" t="s">
        <v>229</v>
      </c>
      <c r="E210" s="260"/>
      <c r="F210" s="388" t="s">
        <v>1165</v>
      </c>
      <c r="G210" s="260" t="s">
        <v>822</v>
      </c>
      <c r="H210" s="339">
        <v>8000</v>
      </c>
      <c r="I210" s="339">
        <v>8000</v>
      </c>
      <c r="J210" s="339">
        <v>3200</v>
      </c>
      <c r="K210" s="339">
        <v>3200</v>
      </c>
      <c r="L210" s="339">
        <v>1392.625</v>
      </c>
      <c r="M210" s="339">
        <v>1392.625</v>
      </c>
      <c r="N210" s="339">
        <v>2126.4650000000001</v>
      </c>
      <c r="O210" s="339">
        <v>2126.4650000000001</v>
      </c>
      <c r="P210" s="339">
        <v>3200</v>
      </c>
      <c r="Q210" s="339">
        <v>3200</v>
      </c>
      <c r="R210" s="339">
        <v>7842</v>
      </c>
      <c r="S210" s="339">
        <v>7842</v>
      </c>
      <c r="T210" s="339">
        <v>7920</v>
      </c>
      <c r="U210" s="339"/>
      <c r="V210" s="339"/>
      <c r="W210" s="339"/>
      <c r="X210" s="339">
        <v>7842</v>
      </c>
      <c r="Y210" s="339"/>
      <c r="Z210" s="339"/>
      <c r="AA210" s="339"/>
      <c r="AB210" s="339">
        <v>109</v>
      </c>
      <c r="AC210" s="339"/>
      <c r="AD210" s="339"/>
      <c r="AE210" s="339"/>
      <c r="AF210" s="339">
        <f t="shared" si="138"/>
        <v>0</v>
      </c>
      <c r="AG210" s="339">
        <f t="shared" si="139"/>
        <v>31</v>
      </c>
      <c r="AH210" s="339">
        <v>78</v>
      </c>
      <c r="AI210" s="339"/>
      <c r="AJ210" s="339"/>
      <c r="AK210" s="339"/>
      <c r="AL210" s="388" t="s">
        <v>1099</v>
      </c>
      <c r="AM210" s="400">
        <f t="shared" si="95"/>
        <v>-31</v>
      </c>
      <c r="AO210" s="391"/>
      <c r="AP210" s="391"/>
      <c r="AQ210" s="391">
        <v>1</v>
      </c>
      <c r="AR210" s="391"/>
      <c r="AS210" s="391"/>
      <c r="AT210" s="391"/>
      <c r="AU210" s="391"/>
      <c r="AV210" s="391">
        <v>1</v>
      </c>
      <c r="AW210" s="391" t="s">
        <v>1208</v>
      </c>
    </row>
    <row r="211" spans="1:49" s="390" customFormat="1" ht="67.5" customHeight="1">
      <c r="A211" s="402" t="s">
        <v>967</v>
      </c>
      <c r="B211" s="399" t="s">
        <v>603</v>
      </c>
      <c r="C211" s="388" t="s">
        <v>39</v>
      </c>
      <c r="D211" s="260" t="s">
        <v>229</v>
      </c>
      <c r="E211" s="260"/>
      <c r="F211" s="388" t="s">
        <v>1165</v>
      </c>
      <c r="G211" s="260" t="s">
        <v>823</v>
      </c>
      <c r="H211" s="339">
        <v>10000</v>
      </c>
      <c r="I211" s="339">
        <v>10000</v>
      </c>
      <c r="J211" s="339">
        <v>7000</v>
      </c>
      <c r="K211" s="339">
        <v>7000</v>
      </c>
      <c r="L211" s="339"/>
      <c r="M211" s="339"/>
      <c r="N211" s="339"/>
      <c r="O211" s="339"/>
      <c r="P211" s="339">
        <v>7000</v>
      </c>
      <c r="Q211" s="339">
        <v>7000</v>
      </c>
      <c r="R211" s="339">
        <v>9600</v>
      </c>
      <c r="S211" s="339">
        <v>9600</v>
      </c>
      <c r="T211" s="339">
        <v>9980</v>
      </c>
      <c r="U211" s="339"/>
      <c r="V211" s="339"/>
      <c r="W211" s="339"/>
      <c r="X211" s="339">
        <v>9600</v>
      </c>
      <c r="Y211" s="339"/>
      <c r="Z211" s="339"/>
      <c r="AA211" s="339"/>
      <c r="AB211" s="339">
        <v>380</v>
      </c>
      <c r="AC211" s="339"/>
      <c r="AD211" s="339"/>
      <c r="AE211" s="339"/>
      <c r="AF211" s="339">
        <f t="shared" si="138"/>
        <v>0</v>
      </c>
      <c r="AG211" s="339">
        <f t="shared" si="139"/>
        <v>0</v>
      </c>
      <c r="AH211" s="339">
        <v>380</v>
      </c>
      <c r="AI211" s="339"/>
      <c r="AJ211" s="339"/>
      <c r="AK211" s="339"/>
      <c r="AL211" s="388"/>
      <c r="AM211" s="400">
        <f t="shared" si="95"/>
        <v>0</v>
      </c>
      <c r="AO211" s="391"/>
      <c r="AP211" s="391"/>
      <c r="AQ211" s="391">
        <v>1</v>
      </c>
      <c r="AR211" s="391"/>
      <c r="AS211" s="391"/>
      <c r="AT211" s="391"/>
      <c r="AU211" s="391"/>
      <c r="AV211" s="391">
        <v>1</v>
      </c>
      <c r="AW211" s="391" t="s">
        <v>1208</v>
      </c>
    </row>
    <row r="212" spans="1:49" s="414" customFormat="1" ht="45.75" customHeight="1">
      <c r="A212" s="404" t="s">
        <v>122</v>
      </c>
      <c r="B212" s="405" t="s">
        <v>1183</v>
      </c>
      <c r="C212" s="412"/>
      <c r="D212" s="282"/>
      <c r="E212" s="282"/>
      <c r="F212" s="412"/>
      <c r="G212" s="282"/>
      <c r="H212" s="407">
        <f>H213</f>
        <v>10000</v>
      </c>
      <c r="I212" s="407">
        <f t="shared" ref="I212:AG212" si="151">I213</f>
        <v>5424</v>
      </c>
      <c r="J212" s="407">
        <f t="shared" si="151"/>
        <v>0</v>
      </c>
      <c r="K212" s="407">
        <f t="shared" si="151"/>
        <v>0</v>
      </c>
      <c r="L212" s="407">
        <f t="shared" si="151"/>
        <v>0</v>
      </c>
      <c r="M212" s="407">
        <f t="shared" si="151"/>
        <v>0</v>
      </c>
      <c r="N212" s="407">
        <f t="shared" si="151"/>
        <v>0</v>
      </c>
      <c r="O212" s="407">
        <f t="shared" si="151"/>
        <v>0</v>
      </c>
      <c r="P212" s="407">
        <f t="shared" si="151"/>
        <v>0</v>
      </c>
      <c r="Q212" s="407">
        <f t="shared" si="151"/>
        <v>0</v>
      </c>
      <c r="R212" s="407">
        <f t="shared" si="151"/>
        <v>0</v>
      </c>
      <c r="S212" s="407">
        <f t="shared" si="151"/>
        <v>0</v>
      </c>
      <c r="T212" s="407">
        <f t="shared" si="151"/>
        <v>5169</v>
      </c>
      <c r="U212" s="407">
        <f t="shared" si="151"/>
        <v>0</v>
      </c>
      <c r="V212" s="407">
        <f t="shared" si="151"/>
        <v>0</v>
      </c>
      <c r="W212" s="407">
        <f t="shared" si="151"/>
        <v>0</v>
      </c>
      <c r="X212" s="407">
        <f t="shared" si="151"/>
        <v>0</v>
      </c>
      <c r="Y212" s="407">
        <f t="shared" si="151"/>
        <v>0</v>
      </c>
      <c r="Z212" s="407">
        <f t="shared" si="151"/>
        <v>0</v>
      </c>
      <c r="AA212" s="407">
        <f t="shared" si="151"/>
        <v>0</v>
      </c>
      <c r="AB212" s="407">
        <f t="shared" si="151"/>
        <v>5169</v>
      </c>
      <c r="AC212" s="407">
        <f t="shared" si="151"/>
        <v>0</v>
      </c>
      <c r="AD212" s="407">
        <f t="shared" si="151"/>
        <v>0</v>
      </c>
      <c r="AE212" s="407">
        <f t="shared" si="151"/>
        <v>0</v>
      </c>
      <c r="AF212" s="407">
        <f t="shared" si="151"/>
        <v>0</v>
      </c>
      <c r="AG212" s="407">
        <f t="shared" si="151"/>
        <v>0</v>
      </c>
      <c r="AH212" s="407">
        <f t="shared" ref="AH212:AK212" si="152">AH213</f>
        <v>5169</v>
      </c>
      <c r="AI212" s="407">
        <f t="shared" si="152"/>
        <v>0</v>
      </c>
      <c r="AJ212" s="407">
        <f t="shared" si="152"/>
        <v>0</v>
      </c>
      <c r="AK212" s="407">
        <f t="shared" si="152"/>
        <v>0</v>
      </c>
      <c r="AL212" s="412"/>
      <c r="AM212" s="413"/>
      <c r="AO212" s="415"/>
      <c r="AP212" s="415"/>
      <c r="AQ212" s="415"/>
      <c r="AR212" s="415"/>
      <c r="AS212" s="415"/>
      <c r="AT212" s="415"/>
      <c r="AU212" s="415"/>
      <c r="AV212" s="415"/>
      <c r="AW212" s="415"/>
    </row>
    <row r="213" spans="1:49" s="390" customFormat="1" ht="72" customHeight="1">
      <c r="A213" s="402" t="s">
        <v>144</v>
      </c>
      <c r="B213" s="399" t="s">
        <v>601</v>
      </c>
      <c r="C213" s="388" t="s">
        <v>39</v>
      </c>
      <c r="D213" s="260"/>
      <c r="E213" s="260"/>
      <c r="F213" s="388" t="s">
        <v>975</v>
      </c>
      <c r="G213" s="260" t="s">
        <v>1045</v>
      </c>
      <c r="H213" s="339">
        <v>10000</v>
      </c>
      <c r="I213" s="339">
        <v>5424</v>
      </c>
      <c r="J213" s="339"/>
      <c r="K213" s="339"/>
      <c r="L213" s="339"/>
      <c r="M213" s="339"/>
      <c r="N213" s="339"/>
      <c r="O213" s="339"/>
      <c r="P213" s="339"/>
      <c r="Q213" s="339"/>
      <c r="R213" s="339">
        <v>0</v>
      </c>
      <c r="S213" s="339">
        <v>0</v>
      </c>
      <c r="T213" s="339">
        <v>5169</v>
      </c>
      <c r="U213" s="339"/>
      <c r="V213" s="339"/>
      <c r="W213" s="339"/>
      <c r="X213" s="339">
        <v>0</v>
      </c>
      <c r="Y213" s="339"/>
      <c r="Z213" s="339"/>
      <c r="AA213" s="339"/>
      <c r="AB213" s="339">
        <v>5169</v>
      </c>
      <c r="AC213" s="339"/>
      <c r="AD213" s="339"/>
      <c r="AE213" s="339"/>
      <c r="AF213" s="339">
        <f t="shared" si="138"/>
        <v>0</v>
      </c>
      <c r="AG213" s="339">
        <f t="shared" si="139"/>
        <v>0</v>
      </c>
      <c r="AH213" s="339">
        <v>5169</v>
      </c>
      <c r="AI213" s="339"/>
      <c r="AJ213" s="339"/>
      <c r="AK213" s="339"/>
      <c r="AL213" s="388" t="s">
        <v>2011</v>
      </c>
      <c r="AM213" s="400">
        <f>T213-X213-AB213</f>
        <v>0</v>
      </c>
      <c r="AO213" s="391"/>
      <c r="AP213" s="391"/>
      <c r="AQ213" s="391">
        <v>1</v>
      </c>
      <c r="AR213" s="391"/>
      <c r="AS213" s="391"/>
      <c r="AT213" s="391"/>
      <c r="AU213" s="391"/>
      <c r="AV213" s="391">
        <v>1</v>
      </c>
      <c r="AW213" s="391" t="s">
        <v>1208</v>
      </c>
    </row>
    <row r="214" spans="1:49" s="414" customFormat="1">
      <c r="A214" s="404" t="s">
        <v>350</v>
      </c>
      <c r="B214" s="405" t="s">
        <v>1192</v>
      </c>
      <c r="C214" s="388"/>
      <c r="D214" s="282"/>
      <c r="E214" s="282"/>
      <c r="F214" s="412"/>
      <c r="G214" s="282"/>
      <c r="H214" s="407">
        <f t="shared" ref="H214:AG214" si="153">SUM(H215:H216)</f>
        <v>29936</v>
      </c>
      <c r="I214" s="407">
        <f t="shared" si="153"/>
        <v>29936</v>
      </c>
      <c r="J214" s="407">
        <f t="shared" si="153"/>
        <v>0</v>
      </c>
      <c r="K214" s="407">
        <f t="shared" si="153"/>
        <v>0</v>
      </c>
      <c r="L214" s="407">
        <f t="shared" si="153"/>
        <v>0</v>
      </c>
      <c r="M214" s="407">
        <f t="shared" si="153"/>
        <v>0</v>
      </c>
      <c r="N214" s="407">
        <f t="shared" si="153"/>
        <v>0</v>
      </c>
      <c r="O214" s="407">
        <f t="shared" si="153"/>
        <v>0</v>
      </c>
      <c r="P214" s="407">
        <f t="shared" si="153"/>
        <v>0</v>
      </c>
      <c r="Q214" s="407">
        <f t="shared" si="153"/>
        <v>0</v>
      </c>
      <c r="R214" s="407">
        <f t="shared" si="153"/>
        <v>0</v>
      </c>
      <c r="S214" s="407">
        <f t="shared" si="153"/>
        <v>0</v>
      </c>
      <c r="T214" s="407">
        <f t="shared" si="153"/>
        <v>944</v>
      </c>
      <c r="U214" s="407">
        <f t="shared" si="153"/>
        <v>0</v>
      </c>
      <c r="V214" s="407">
        <f t="shared" si="153"/>
        <v>0</v>
      </c>
      <c r="W214" s="407">
        <f t="shared" si="153"/>
        <v>0</v>
      </c>
      <c r="X214" s="407">
        <f t="shared" si="153"/>
        <v>0</v>
      </c>
      <c r="Y214" s="407">
        <f t="shared" si="153"/>
        <v>0</v>
      </c>
      <c r="Z214" s="407">
        <f t="shared" si="153"/>
        <v>0</v>
      </c>
      <c r="AA214" s="407">
        <f t="shared" si="153"/>
        <v>0</v>
      </c>
      <c r="AB214" s="407">
        <f t="shared" si="153"/>
        <v>1000</v>
      </c>
      <c r="AC214" s="407">
        <f t="shared" si="153"/>
        <v>0</v>
      </c>
      <c r="AD214" s="407">
        <f t="shared" si="153"/>
        <v>0</v>
      </c>
      <c r="AE214" s="407">
        <f t="shared" si="153"/>
        <v>0</v>
      </c>
      <c r="AF214" s="407">
        <f t="shared" si="153"/>
        <v>331</v>
      </c>
      <c r="AG214" s="407">
        <f t="shared" si="153"/>
        <v>387</v>
      </c>
      <c r="AH214" s="407">
        <f t="shared" ref="AH214:AK214" si="154">SUM(AH215:AH216)</f>
        <v>944</v>
      </c>
      <c r="AI214" s="407">
        <f t="shared" si="154"/>
        <v>0</v>
      </c>
      <c r="AJ214" s="407">
        <f t="shared" si="154"/>
        <v>0</v>
      </c>
      <c r="AK214" s="407">
        <f t="shared" si="154"/>
        <v>0</v>
      </c>
      <c r="AL214" s="412"/>
      <c r="AM214" s="400">
        <f t="shared" ref="AM214:AM232" si="155">T214-X214-AB214</f>
        <v>-56</v>
      </c>
      <c r="AO214" s="415"/>
      <c r="AP214" s="415"/>
      <c r="AQ214" s="415"/>
      <c r="AR214" s="415"/>
      <c r="AS214" s="415"/>
      <c r="AT214" s="415"/>
      <c r="AU214" s="415"/>
      <c r="AV214" s="415"/>
      <c r="AW214" s="415"/>
    </row>
    <row r="215" spans="1:49" s="390" customFormat="1" ht="51.75" customHeight="1">
      <c r="A215" s="402" t="s">
        <v>144</v>
      </c>
      <c r="B215" s="399" t="s">
        <v>1238</v>
      </c>
      <c r="C215" s="388" t="s">
        <v>39</v>
      </c>
      <c r="D215" s="260"/>
      <c r="E215" s="260"/>
      <c r="F215" s="388"/>
      <c r="G215" s="275" t="s">
        <v>1046</v>
      </c>
      <c r="H215" s="339">
        <v>14986</v>
      </c>
      <c r="I215" s="339">
        <v>14986</v>
      </c>
      <c r="J215" s="339"/>
      <c r="K215" s="339"/>
      <c r="L215" s="339"/>
      <c r="M215" s="339"/>
      <c r="N215" s="339"/>
      <c r="O215" s="339"/>
      <c r="P215" s="339"/>
      <c r="Q215" s="339"/>
      <c r="R215" s="339"/>
      <c r="S215" s="339"/>
      <c r="T215" s="339">
        <v>613</v>
      </c>
      <c r="U215" s="339"/>
      <c r="V215" s="339"/>
      <c r="W215" s="339"/>
      <c r="X215" s="339"/>
      <c r="Y215" s="339"/>
      <c r="Z215" s="339"/>
      <c r="AA215" s="339"/>
      <c r="AB215" s="339">
        <v>1000</v>
      </c>
      <c r="AC215" s="339"/>
      <c r="AD215" s="339"/>
      <c r="AE215" s="339"/>
      <c r="AF215" s="339">
        <f t="shared" si="138"/>
        <v>0</v>
      </c>
      <c r="AG215" s="339">
        <f t="shared" si="139"/>
        <v>387</v>
      </c>
      <c r="AH215" s="339">
        <v>613</v>
      </c>
      <c r="AI215" s="339"/>
      <c r="AJ215" s="339"/>
      <c r="AK215" s="339"/>
      <c r="AL215" s="388"/>
      <c r="AM215" s="400">
        <f t="shared" si="155"/>
        <v>-387</v>
      </c>
      <c r="AO215" s="391"/>
      <c r="AP215" s="391"/>
      <c r="AQ215" s="391"/>
      <c r="AR215" s="391"/>
      <c r="AS215" s="391">
        <v>1</v>
      </c>
      <c r="AT215" s="391"/>
      <c r="AU215" s="391"/>
      <c r="AV215" s="391"/>
      <c r="AW215" s="391"/>
    </row>
    <row r="216" spans="1:49" s="390" customFormat="1" ht="64.5" customHeight="1">
      <c r="A216" s="402" t="s">
        <v>547</v>
      </c>
      <c r="B216" s="399" t="s">
        <v>1109</v>
      </c>
      <c r="C216" s="388" t="s">
        <v>39</v>
      </c>
      <c r="D216" s="260"/>
      <c r="E216" s="260"/>
      <c r="F216" s="388"/>
      <c r="G216" s="260" t="s">
        <v>1050</v>
      </c>
      <c r="H216" s="339">
        <v>14950</v>
      </c>
      <c r="I216" s="339">
        <v>14950</v>
      </c>
      <c r="J216" s="339"/>
      <c r="K216" s="339"/>
      <c r="L216" s="339"/>
      <c r="M216" s="339"/>
      <c r="N216" s="339"/>
      <c r="O216" s="339"/>
      <c r="P216" s="339"/>
      <c r="Q216" s="339"/>
      <c r="R216" s="339"/>
      <c r="S216" s="339"/>
      <c r="T216" s="339">
        <v>331</v>
      </c>
      <c r="U216" s="339"/>
      <c r="V216" s="339"/>
      <c r="W216" s="339"/>
      <c r="X216" s="339"/>
      <c r="Y216" s="339"/>
      <c r="Z216" s="339"/>
      <c r="AA216" s="339"/>
      <c r="AB216" s="339">
        <v>0</v>
      </c>
      <c r="AC216" s="339"/>
      <c r="AD216" s="339"/>
      <c r="AE216" s="339"/>
      <c r="AF216" s="339">
        <f t="shared" si="138"/>
        <v>331</v>
      </c>
      <c r="AG216" s="339">
        <f t="shared" si="139"/>
        <v>0</v>
      </c>
      <c r="AH216" s="339">
        <v>331</v>
      </c>
      <c r="AI216" s="339"/>
      <c r="AJ216" s="339"/>
      <c r="AK216" s="339"/>
      <c r="AL216" s="388"/>
      <c r="AM216" s="400">
        <f t="shared" si="155"/>
        <v>331</v>
      </c>
      <c r="AO216" s="391"/>
      <c r="AP216" s="391"/>
      <c r="AQ216" s="391"/>
      <c r="AR216" s="391"/>
      <c r="AS216" s="391">
        <v>1</v>
      </c>
      <c r="AT216" s="391"/>
      <c r="AU216" s="391"/>
      <c r="AV216" s="391"/>
      <c r="AW216" s="391"/>
    </row>
    <row r="217" spans="1:49" s="396" customFormat="1" ht="27.75" customHeight="1">
      <c r="A217" s="269" t="s">
        <v>34</v>
      </c>
      <c r="B217" s="270" t="s">
        <v>604</v>
      </c>
      <c r="C217" s="393"/>
      <c r="D217" s="261"/>
      <c r="E217" s="261"/>
      <c r="F217" s="393" t="s">
        <v>975</v>
      </c>
      <c r="G217" s="261"/>
      <c r="H217" s="394">
        <f t="shared" ref="H217:AG217" si="156">H218+H219</f>
        <v>45200</v>
      </c>
      <c r="I217" s="394">
        <f t="shared" si="156"/>
        <v>29215</v>
      </c>
      <c r="J217" s="394">
        <f t="shared" si="156"/>
        <v>7810</v>
      </c>
      <c r="K217" s="394">
        <f t="shared" si="156"/>
        <v>7810</v>
      </c>
      <c r="L217" s="394">
        <f t="shared" si="156"/>
        <v>883.52599999999995</v>
      </c>
      <c r="M217" s="394">
        <f t="shared" si="156"/>
        <v>883.52599999999995</v>
      </c>
      <c r="N217" s="394">
        <f t="shared" si="156"/>
        <v>1855.4490000000001</v>
      </c>
      <c r="O217" s="394">
        <f t="shared" si="156"/>
        <v>1855.4490000000001</v>
      </c>
      <c r="P217" s="394">
        <f t="shared" si="156"/>
        <v>7810</v>
      </c>
      <c r="Q217" s="394">
        <f t="shared" si="156"/>
        <v>7810</v>
      </c>
      <c r="R217" s="394">
        <f t="shared" si="156"/>
        <v>12210</v>
      </c>
      <c r="S217" s="394">
        <f t="shared" si="156"/>
        <v>12210</v>
      </c>
      <c r="T217" s="394">
        <f t="shared" si="156"/>
        <v>23525</v>
      </c>
      <c r="U217" s="394">
        <f t="shared" si="156"/>
        <v>0</v>
      </c>
      <c r="V217" s="394">
        <f t="shared" si="156"/>
        <v>0</v>
      </c>
      <c r="W217" s="394">
        <f t="shared" si="156"/>
        <v>0</v>
      </c>
      <c r="X217" s="394">
        <f t="shared" si="156"/>
        <v>11925</v>
      </c>
      <c r="Y217" s="394">
        <f t="shared" si="156"/>
        <v>0</v>
      </c>
      <c r="Z217" s="394">
        <f t="shared" si="156"/>
        <v>0</v>
      </c>
      <c r="AA217" s="394">
        <f t="shared" si="156"/>
        <v>0</v>
      </c>
      <c r="AB217" s="394">
        <f t="shared" si="156"/>
        <v>11600</v>
      </c>
      <c r="AC217" s="394">
        <f t="shared" si="156"/>
        <v>0</v>
      </c>
      <c r="AD217" s="394">
        <f t="shared" si="156"/>
        <v>0</v>
      </c>
      <c r="AE217" s="394">
        <f t="shared" si="156"/>
        <v>0</v>
      </c>
      <c r="AF217" s="394">
        <f t="shared" si="156"/>
        <v>0</v>
      </c>
      <c r="AG217" s="394">
        <f t="shared" si="156"/>
        <v>0</v>
      </c>
      <c r="AH217" s="394">
        <f t="shared" ref="AH217:AK217" si="157">AH218+AH219</f>
        <v>11600</v>
      </c>
      <c r="AI217" s="394">
        <f t="shared" si="157"/>
        <v>0</v>
      </c>
      <c r="AJ217" s="394">
        <f t="shared" si="157"/>
        <v>0</v>
      </c>
      <c r="AK217" s="394">
        <f t="shared" si="157"/>
        <v>0</v>
      </c>
      <c r="AL217" s="393"/>
      <c r="AM217" s="400">
        <f t="shared" si="155"/>
        <v>0</v>
      </c>
      <c r="AO217" s="397"/>
      <c r="AP217" s="397"/>
      <c r="AQ217" s="397"/>
      <c r="AR217" s="397"/>
      <c r="AS217" s="397"/>
      <c r="AT217" s="397"/>
      <c r="AU217" s="397"/>
      <c r="AV217" s="397"/>
      <c r="AW217" s="397"/>
    </row>
    <row r="218" spans="1:49" s="409" customFormat="1" ht="65.25" customHeight="1">
      <c r="A218" s="416" t="s">
        <v>120</v>
      </c>
      <c r="B218" s="417" t="s">
        <v>1195</v>
      </c>
      <c r="C218" s="406"/>
      <c r="D218" s="282"/>
      <c r="E218" s="282"/>
      <c r="F218" s="406" t="s">
        <v>975</v>
      </c>
      <c r="G218" s="282"/>
      <c r="H218" s="407"/>
      <c r="I218" s="407"/>
      <c r="J218" s="407"/>
      <c r="K218" s="407"/>
      <c r="L218" s="407"/>
      <c r="M218" s="407"/>
      <c r="N218" s="407"/>
      <c r="O218" s="407"/>
      <c r="P218" s="407"/>
      <c r="Q218" s="407"/>
      <c r="R218" s="407"/>
      <c r="S218" s="407"/>
      <c r="T218" s="407"/>
      <c r="U218" s="407"/>
      <c r="V218" s="407"/>
      <c r="W218" s="407"/>
      <c r="X218" s="407"/>
      <c r="Y218" s="407"/>
      <c r="Z218" s="407"/>
      <c r="AA218" s="407"/>
      <c r="AB218" s="407"/>
      <c r="AC218" s="407"/>
      <c r="AD218" s="407"/>
      <c r="AE218" s="407"/>
      <c r="AF218" s="339">
        <f t="shared" si="138"/>
        <v>0</v>
      </c>
      <c r="AG218" s="339">
        <f t="shared" si="139"/>
        <v>0</v>
      </c>
      <c r="AH218" s="407"/>
      <c r="AI218" s="407"/>
      <c r="AJ218" s="407"/>
      <c r="AK218" s="407"/>
      <c r="AL218" s="406"/>
      <c r="AM218" s="400">
        <f t="shared" si="155"/>
        <v>0</v>
      </c>
      <c r="AO218" s="410"/>
      <c r="AP218" s="410"/>
      <c r="AQ218" s="410"/>
      <c r="AR218" s="410"/>
      <c r="AS218" s="410"/>
      <c r="AT218" s="410"/>
      <c r="AU218" s="410"/>
      <c r="AV218" s="410"/>
      <c r="AW218" s="410"/>
    </row>
    <row r="219" spans="1:49" s="414" customFormat="1" ht="34.5">
      <c r="A219" s="404" t="s">
        <v>122</v>
      </c>
      <c r="B219" s="405" t="s">
        <v>1183</v>
      </c>
      <c r="C219" s="412"/>
      <c r="D219" s="310"/>
      <c r="E219" s="310"/>
      <c r="F219" s="412"/>
      <c r="G219" s="282"/>
      <c r="H219" s="407">
        <f>SUM(H220:H222)</f>
        <v>45200</v>
      </c>
      <c r="I219" s="407">
        <f t="shared" ref="I219:AG219" si="158">SUM(I220:I222)</f>
        <v>29215</v>
      </c>
      <c r="J219" s="407">
        <f t="shared" si="158"/>
        <v>7810</v>
      </c>
      <c r="K219" s="407">
        <f t="shared" si="158"/>
        <v>7810</v>
      </c>
      <c r="L219" s="407">
        <f t="shared" si="158"/>
        <v>883.52599999999995</v>
      </c>
      <c r="M219" s="407">
        <f t="shared" si="158"/>
        <v>883.52599999999995</v>
      </c>
      <c r="N219" s="407">
        <f t="shared" si="158"/>
        <v>1855.4490000000001</v>
      </c>
      <c r="O219" s="407">
        <f t="shared" si="158"/>
        <v>1855.4490000000001</v>
      </c>
      <c r="P219" s="407">
        <f t="shared" si="158"/>
        <v>7810</v>
      </c>
      <c r="Q219" s="407">
        <f t="shared" si="158"/>
        <v>7810</v>
      </c>
      <c r="R219" s="407">
        <f t="shared" si="158"/>
        <v>12210</v>
      </c>
      <c r="S219" s="407">
        <f t="shared" si="158"/>
        <v>12210</v>
      </c>
      <c r="T219" s="407">
        <f t="shared" si="158"/>
        <v>23525</v>
      </c>
      <c r="U219" s="407">
        <f t="shared" si="158"/>
        <v>0</v>
      </c>
      <c r="V219" s="407">
        <f t="shared" si="158"/>
        <v>0</v>
      </c>
      <c r="W219" s="407">
        <f t="shared" si="158"/>
        <v>0</v>
      </c>
      <c r="X219" s="407">
        <f t="shared" si="158"/>
        <v>11925</v>
      </c>
      <c r="Y219" s="407">
        <f t="shared" si="158"/>
        <v>0</v>
      </c>
      <c r="Z219" s="407">
        <f t="shared" si="158"/>
        <v>0</v>
      </c>
      <c r="AA219" s="407">
        <f t="shared" si="158"/>
        <v>0</v>
      </c>
      <c r="AB219" s="407">
        <f t="shared" si="158"/>
        <v>11600</v>
      </c>
      <c r="AC219" s="407">
        <f t="shared" si="158"/>
        <v>0</v>
      </c>
      <c r="AD219" s="407">
        <f t="shared" si="158"/>
        <v>0</v>
      </c>
      <c r="AE219" s="407">
        <f t="shared" si="158"/>
        <v>0</v>
      </c>
      <c r="AF219" s="407">
        <f t="shared" si="158"/>
        <v>0</v>
      </c>
      <c r="AG219" s="407">
        <f t="shared" si="158"/>
        <v>0</v>
      </c>
      <c r="AH219" s="407">
        <f t="shared" ref="AH219:AK219" si="159">SUM(AH220:AH222)</f>
        <v>11600</v>
      </c>
      <c r="AI219" s="407">
        <f t="shared" si="159"/>
        <v>0</v>
      </c>
      <c r="AJ219" s="407">
        <f t="shared" si="159"/>
        <v>0</v>
      </c>
      <c r="AK219" s="407">
        <f t="shared" si="159"/>
        <v>0</v>
      </c>
      <c r="AL219" s="412"/>
      <c r="AM219" s="400">
        <f t="shared" si="155"/>
        <v>0</v>
      </c>
      <c r="AO219" s="415"/>
      <c r="AP219" s="415"/>
      <c r="AQ219" s="415"/>
      <c r="AR219" s="415"/>
      <c r="AS219" s="415"/>
      <c r="AT219" s="415"/>
      <c r="AU219" s="415"/>
      <c r="AV219" s="415"/>
      <c r="AW219" s="415"/>
    </row>
    <row r="220" spans="1:49" s="390" customFormat="1" ht="72.75" customHeight="1">
      <c r="A220" s="398">
        <v>1</v>
      </c>
      <c r="B220" s="399" t="s">
        <v>610</v>
      </c>
      <c r="C220" s="388" t="s">
        <v>39</v>
      </c>
      <c r="D220" s="294" t="s">
        <v>630</v>
      </c>
      <c r="E220" s="294" t="s">
        <v>834</v>
      </c>
      <c r="F220" s="388" t="s">
        <v>1165</v>
      </c>
      <c r="G220" s="260" t="s">
        <v>835</v>
      </c>
      <c r="H220" s="185">
        <v>7600</v>
      </c>
      <c r="I220" s="185">
        <v>7600</v>
      </c>
      <c r="J220" s="339">
        <v>1000</v>
      </c>
      <c r="K220" s="339">
        <v>1000</v>
      </c>
      <c r="L220" s="339">
        <v>28.077000000000002</v>
      </c>
      <c r="M220" s="339">
        <v>28.077000000000002</v>
      </c>
      <c r="N220" s="339">
        <v>1000</v>
      </c>
      <c r="O220" s="339">
        <v>1000</v>
      </c>
      <c r="P220" s="339">
        <v>1000</v>
      </c>
      <c r="Q220" s="339">
        <v>1000</v>
      </c>
      <c r="R220" s="339">
        <v>3200</v>
      </c>
      <c r="S220" s="339">
        <v>3200</v>
      </c>
      <c r="T220" s="339">
        <v>7334</v>
      </c>
      <c r="U220" s="339"/>
      <c r="V220" s="339"/>
      <c r="W220" s="339"/>
      <c r="X220" s="339">
        <v>3334</v>
      </c>
      <c r="Y220" s="339"/>
      <c r="Z220" s="339"/>
      <c r="AA220" s="339"/>
      <c r="AB220" s="339">
        <v>4000</v>
      </c>
      <c r="AC220" s="339"/>
      <c r="AD220" s="339"/>
      <c r="AE220" s="339"/>
      <c r="AF220" s="339">
        <f t="shared" si="138"/>
        <v>0</v>
      </c>
      <c r="AG220" s="339">
        <f t="shared" si="139"/>
        <v>0</v>
      </c>
      <c r="AH220" s="339">
        <v>4000</v>
      </c>
      <c r="AI220" s="339"/>
      <c r="AJ220" s="339"/>
      <c r="AK220" s="339"/>
      <c r="AL220" s="388"/>
      <c r="AM220" s="400">
        <f t="shared" si="155"/>
        <v>0</v>
      </c>
      <c r="AO220" s="391"/>
      <c r="AP220" s="391"/>
      <c r="AQ220" s="391">
        <v>1</v>
      </c>
      <c r="AR220" s="391"/>
      <c r="AS220" s="391"/>
      <c r="AT220" s="391"/>
      <c r="AU220" s="391"/>
      <c r="AV220" s="391">
        <v>1</v>
      </c>
      <c r="AW220" s="391" t="s">
        <v>1187</v>
      </c>
    </row>
    <row r="221" spans="1:49" s="390" customFormat="1" ht="78" customHeight="1">
      <c r="A221" s="398">
        <v>2</v>
      </c>
      <c r="B221" s="399" t="s">
        <v>613</v>
      </c>
      <c r="C221" s="388" t="s">
        <v>39</v>
      </c>
      <c r="D221" s="294" t="s">
        <v>632</v>
      </c>
      <c r="E221" s="294" t="s">
        <v>839</v>
      </c>
      <c r="F221" s="388" t="s">
        <v>1165</v>
      </c>
      <c r="G221" s="260" t="s">
        <v>840</v>
      </c>
      <c r="H221" s="185">
        <v>7600</v>
      </c>
      <c r="I221" s="185">
        <v>7600</v>
      </c>
      <c r="J221" s="339">
        <v>1000</v>
      </c>
      <c r="K221" s="339">
        <v>1000</v>
      </c>
      <c r="L221" s="339">
        <v>855.44899999999996</v>
      </c>
      <c r="M221" s="339">
        <v>855.44899999999996</v>
      </c>
      <c r="N221" s="339">
        <v>855.44899999999996</v>
      </c>
      <c r="O221" s="339">
        <v>855.44899999999996</v>
      </c>
      <c r="P221" s="339">
        <v>1000</v>
      </c>
      <c r="Q221" s="339">
        <v>1000</v>
      </c>
      <c r="R221" s="339">
        <v>3200</v>
      </c>
      <c r="S221" s="339">
        <v>3200</v>
      </c>
      <c r="T221" s="339">
        <v>7381</v>
      </c>
      <c r="U221" s="339"/>
      <c r="V221" s="339"/>
      <c r="W221" s="339"/>
      <c r="X221" s="339">
        <v>3781</v>
      </c>
      <c r="Y221" s="339"/>
      <c r="Z221" s="339"/>
      <c r="AA221" s="339"/>
      <c r="AB221" s="339">
        <v>3600</v>
      </c>
      <c r="AC221" s="339"/>
      <c r="AD221" s="339"/>
      <c r="AE221" s="339"/>
      <c r="AF221" s="339">
        <f t="shared" si="138"/>
        <v>0</v>
      </c>
      <c r="AG221" s="339">
        <f t="shared" si="139"/>
        <v>0</v>
      </c>
      <c r="AH221" s="339">
        <v>3600</v>
      </c>
      <c r="AI221" s="339"/>
      <c r="AJ221" s="339"/>
      <c r="AK221" s="339"/>
      <c r="AL221" s="388"/>
      <c r="AM221" s="400">
        <f t="shared" si="155"/>
        <v>0</v>
      </c>
      <c r="AO221" s="391"/>
      <c r="AP221" s="391"/>
      <c r="AQ221" s="391">
        <v>1</v>
      </c>
      <c r="AR221" s="391"/>
      <c r="AS221" s="391"/>
      <c r="AT221" s="391"/>
      <c r="AU221" s="391"/>
      <c r="AV221" s="391">
        <v>1</v>
      </c>
      <c r="AW221" s="391" t="s">
        <v>1187</v>
      </c>
    </row>
    <row r="222" spans="1:49" s="390" customFormat="1" ht="76.5" customHeight="1">
      <c r="A222" s="398">
        <v>3</v>
      </c>
      <c r="B222" s="399" t="s">
        <v>486</v>
      </c>
      <c r="C222" s="388" t="s">
        <v>39</v>
      </c>
      <c r="D222" s="294"/>
      <c r="E222" s="294"/>
      <c r="F222" s="388" t="s">
        <v>975</v>
      </c>
      <c r="G222" s="260" t="s">
        <v>1239</v>
      </c>
      <c r="H222" s="185">
        <v>30000</v>
      </c>
      <c r="I222" s="185">
        <v>14015</v>
      </c>
      <c r="J222" s="339">
        <v>5810</v>
      </c>
      <c r="K222" s="339">
        <v>5810</v>
      </c>
      <c r="L222" s="339"/>
      <c r="M222" s="339"/>
      <c r="N222" s="339"/>
      <c r="O222" s="339"/>
      <c r="P222" s="339">
        <v>5810</v>
      </c>
      <c r="Q222" s="339">
        <v>5810</v>
      </c>
      <c r="R222" s="339">
        <v>5810</v>
      </c>
      <c r="S222" s="339">
        <v>5810</v>
      </c>
      <c r="T222" s="339">
        <v>8810</v>
      </c>
      <c r="U222" s="339"/>
      <c r="V222" s="339"/>
      <c r="W222" s="339"/>
      <c r="X222" s="339">
        <v>4810</v>
      </c>
      <c r="Y222" s="339"/>
      <c r="Z222" s="339"/>
      <c r="AA222" s="339"/>
      <c r="AB222" s="339">
        <v>4000</v>
      </c>
      <c r="AC222" s="339"/>
      <c r="AD222" s="339"/>
      <c r="AE222" s="339"/>
      <c r="AF222" s="339">
        <f t="shared" si="138"/>
        <v>0</v>
      </c>
      <c r="AG222" s="339">
        <f t="shared" si="139"/>
        <v>0</v>
      </c>
      <c r="AH222" s="339">
        <v>4000</v>
      </c>
      <c r="AI222" s="339"/>
      <c r="AJ222" s="339"/>
      <c r="AK222" s="339"/>
      <c r="AL222" s="260" t="s">
        <v>1240</v>
      </c>
      <c r="AM222" s="400">
        <f t="shared" si="155"/>
        <v>0</v>
      </c>
      <c r="AO222" s="391"/>
      <c r="AP222" s="391"/>
      <c r="AQ222" s="391">
        <v>1</v>
      </c>
      <c r="AR222" s="391"/>
      <c r="AS222" s="391"/>
      <c r="AT222" s="391"/>
      <c r="AU222" s="391"/>
      <c r="AV222" s="391">
        <v>1</v>
      </c>
      <c r="AW222" s="391" t="s">
        <v>1187</v>
      </c>
    </row>
    <row r="223" spans="1:49" s="396" customFormat="1" ht="66" customHeight="1">
      <c r="A223" s="269" t="s">
        <v>66</v>
      </c>
      <c r="B223" s="270" t="s">
        <v>619</v>
      </c>
      <c r="C223" s="393"/>
      <c r="D223" s="301"/>
      <c r="E223" s="261"/>
      <c r="F223" s="393" t="s">
        <v>975</v>
      </c>
      <c r="G223" s="261"/>
      <c r="H223" s="394">
        <f>H224+H228</f>
        <v>27500</v>
      </c>
      <c r="I223" s="394">
        <f t="shared" ref="I223:AE223" si="160">I224+I228</f>
        <v>27500</v>
      </c>
      <c r="J223" s="394">
        <f t="shared" si="160"/>
        <v>0</v>
      </c>
      <c r="K223" s="394">
        <f t="shared" si="160"/>
        <v>0</v>
      </c>
      <c r="L223" s="394">
        <f t="shared" si="160"/>
        <v>0</v>
      </c>
      <c r="M223" s="394">
        <f t="shared" si="160"/>
        <v>0</v>
      </c>
      <c r="N223" s="394">
        <f t="shared" si="160"/>
        <v>0</v>
      </c>
      <c r="O223" s="394">
        <f t="shared" si="160"/>
        <v>0</v>
      </c>
      <c r="P223" s="394">
        <f t="shared" si="160"/>
        <v>0</v>
      </c>
      <c r="Q223" s="394">
        <f t="shared" si="160"/>
        <v>0</v>
      </c>
      <c r="R223" s="394">
        <f t="shared" si="160"/>
        <v>0</v>
      </c>
      <c r="S223" s="394">
        <f t="shared" si="160"/>
        <v>0</v>
      </c>
      <c r="T223" s="394">
        <f t="shared" si="160"/>
        <v>13360</v>
      </c>
      <c r="U223" s="394">
        <f t="shared" si="160"/>
        <v>0</v>
      </c>
      <c r="V223" s="394">
        <f t="shared" si="160"/>
        <v>0</v>
      </c>
      <c r="W223" s="394">
        <f t="shared" si="160"/>
        <v>0</v>
      </c>
      <c r="X223" s="394">
        <f t="shared" si="160"/>
        <v>900</v>
      </c>
      <c r="Y223" s="394">
        <f t="shared" si="160"/>
        <v>0</v>
      </c>
      <c r="Z223" s="394">
        <f t="shared" si="160"/>
        <v>0</v>
      </c>
      <c r="AA223" s="394">
        <f t="shared" si="160"/>
        <v>0</v>
      </c>
      <c r="AB223" s="394">
        <f t="shared" si="160"/>
        <v>12760</v>
      </c>
      <c r="AC223" s="394">
        <f t="shared" si="160"/>
        <v>0</v>
      </c>
      <c r="AD223" s="394">
        <f t="shared" si="160"/>
        <v>0</v>
      </c>
      <c r="AE223" s="394">
        <f t="shared" si="160"/>
        <v>0</v>
      </c>
      <c r="AF223" s="394">
        <f t="shared" ref="AF223:AG223" si="161">AF224+AF228</f>
        <v>0</v>
      </c>
      <c r="AG223" s="394">
        <f t="shared" si="161"/>
        <v>300</v>
      </c>
      <c r="AH223" s="394">
        <f t="shared" ref="AH223:AK223" si="162">AH224+AH228</f>
        <v>12460</v>
      </c>
      <c r="AI223" s="394">
        <f t="shared" si="162"/>
        <v>0</v>
      </c>
      <c r="AJ223" s="394">
        <f t="shared" si="162"/>
        <v>0</v>
      </c>
      <c r="AK223" s="394">
        <f t="shared" si="162"/>
        <v>0</v>
      </c>
      <c r="AL223" s="393"/>
      <c r="AM223" s="400">
        <f t="shared" si="155"/>
        <v>-300</v>
      </c>
      <c r="AO223" s="397"/>
      <c r="AP223" s="397"/>
      <c r="AQ223" s="397"/>
      <c r="AR223" s="397"/>
      <c r="AS223" s="397"/>
      <c r="AT223" s="397"/>
      <c r="AU223" s="397"/>
      <c r="AV223" s="397"/>
      <c r="AW223" s="397"/>
    </row>
    <row r="224" spans="1:49" s="396" customFormat="1" ht="34.5">
      <c r="A224" s="404" t="s">
        <v>120</v>
      </c>
      <c r="B224" s="405" t="s">
        <v>1183</v>
      </c>
      <c r="C224" s="418"/>
      <c r="D224" s="419"/>
      <c r="E224" s="420"/>
      <c r="F224" s="418"/>
      <c r="G224" s="420"/>
      <c r="H224" s="421">
        <f>SUM(H225:H227)</f>
        <v>13000</v>
      </c>
      <c r="I224" s="421">
        <f t="shared" ref="I224:AE224" si="163">SUM(I225:I227)</f>
        <v>13000</v>
      </c>
      <c r="J224" s="421">
        <f t="shared" si="163"/>
        <v>0</v>
      </c>
      <c r="K224" s="421">
        <f t="shared" si="163"/>
        <v>0</v>
      </c>
      <c r="L224" s="421">
        <f t="shared" si="163"/>
        <v>0</v>
      </c>
      <c r="M224" s="421">
        <f t="shared" si="163"/>
        <v>0</v>
      </c>
      <c r="N224" s="421">
        <f t="shared" si="163"/>
        <v>0</v>
      </c>
      <c r="O224" s="421">
        <f t="shared" si="163"/>
        <v>0</v>
      </c>
      <c r="P224" s="421">
        <f t="shared" si="163"/>
        <v>0</v>
      </c>
      <c r="Q224" s="421">
        <f t="shared" si="163"/>
        <v>0</v>
      </c>
      <c r="R224" s="421">
        <f t="shared" si="163"/>
        <v>0</v>
      </c>
      <c r="S224" s="421">
        <f t="shared" si="163"/>
        <v>0</v>
      </c>
      <c r="T224" s="421">
        <f t="shared" si="163"/>
        <v>12560</v>
      </c>
      <c r="U224" s="421">
        <f t="shared" si="163"/>
        <v>0</v>
      </c>
      <c r="V224" s="421">
        <f t="shared" si="163"/>
        <v>0</v>
      </c>
      <c r="W224" s="421">
        <f t="shared" si="163"/>
        <v>0</v>
      </c>
      <c r="X224" s="421">
        <f t="shared" si="163"/>
        <v>600</v>
      </c>
      <c r="Y224" s="421">
        <f t="shared" si="163"/>
        <v>0</v>
      </c>
      <c r="Z224" s="421">
        <f t="shared" si="163"/>
        <v>0</v>
      </c>
      <c r="AA224" s="421">
        <f t="shared" si="163"/>
        <v>0</v>
      </c>
      <c r="AB224" s="421">
        <f t="shared" si="163"/>
        <v>11960</v>
      </c>
      <c r="AC224" s="421">
        <f t="shared" si="163"/>
        <v>0</v>
      </c>
      <c r="AD224" s="421">
        <f t="shared" si="163"/>
        <v>0</v>
      </c>
      <c r="AE224" s="421">
        <f t="shared" si="163"/>
        <v>0</v>
      </c>
      <c r="AF224" s="421">
        <f t="shared" ref="AF224:AG224" si="164">SUM(AF225:AF227)</f>
        <v>0</v>
      </c>
      <c r="AG224" s="421">
        <f t="shared" si="164"/>
        <v>0</v>
      </c>
      <c r="AH224" s="421">
        <f t="shared" ref="AH224:AK224" si="165">SUM(AH225:AH227)</f>
        <v>11960</v>
      </c>
      <c r="AI224" s="421">
        <f t="shared" si="165"/>
        <v>0</v>
      </c>
      <c r="AJ224" s="421">
        <f t="shared" si="165"/>
        <v>0</v>
      </c>
      <c r="AK224" s="421">
        <f t="shared" si="165"/>
        <v>0</v>
      </c>
      <c r="AL224" s="418"/>
      <c r="AM224" s="400">
        <f t="shared" si="155"/>
        <v>0</v>
      </c>
      <c r="AO224" s="397"/>
      <c r="AP224" s="397"/>
      <c r="AQ224" s="397"/>
      <c r="AR224" s="397"/>
      <c r="AS224" s="397"/>
      <c r="AT224" s="397"/>
      <c r="AU224" s="397"/>
      <c r="AV224" s="397"/>
      <c r="AW224" s="397"/>
    </row>
    <row r="225" spans="1:49" s="390" customFormat="1" ht="54" customHeight="1">
      <c r="A225" s="422">
        <v>1</v>
      </c>
      <c r="B225" s="423" t="s">
        <v>1241</v>
      </c>
      <c r="C225" s="424" t="s">
        <v>39</v>
      </c>
      <c r="D225" s="425" t="s">
        <v>966</v>
      </c>
      <c r="E225" s="426" t="s">
        <v>866</v>
      </c>
      <c r="F225" s="388" t="s">
        <v>1209</v>
      </c>
      <c r="G225" s="426" t="s">
        <v>847</v>
      </c>
      <c r="H225" s="427">
        <v>4500</v>
      </c>
      <c r="I225" s="427">
        <v>4500</v>
      </c>
      <c r="J225" s="427"/>
      <c r="K225" s="427"/>
      <c r="L225" s="427"/>
      <c r="M225" s="427"/>
      <c r="N225" s="427"/>
      <c r="O225" s="427"/>
      <c r="P225" s="427"/>
      <c r="Q225" s="427"/>
      <c r="R225" s="427"/>
      <c r="S225" s="427"/>
      <c r="T225" s="427">
        <v>4350</v>
      </c>
      <c r="U225" s="427"/>
      <c r="V225" s="427"/>
      <c r="W225" s="427"/>
      <c r="X225" s="427">
        <v>200</v>
      </c>
      <c r="Y225" s="427"/>
      <c r="Z225" s="427"/>
      <c r="AA225" s="427"/>
      <c r="AB225" s="427">
        <v>4150</v>
      </c>
      <c r="AC225" s="427"/>
      <c r="AD225" s="427"/>
      <c r="AE225" s="427"/>
      <c r="AF225" s="339">
        <f t="shared" si="138"/>
        <v>0</v>
      </c>
      <c r="AG225" s="339">
        <f t="shared" si="139"/>
        <v>0</v>
      </c>
      <c r="AH225" s="427">
        <v>4150</v>
      </c>
      <c r="AI225" s="427"/>
      <c r="AJ225" s="427"/>
      <c r="AK225" s="427"/>
      <c r="AL225" s="424"/>
      <c r="AM225" s="400">
        <f t="shared" si="155"/>
        <v>0</v>
      </c>
      <c r="AO225" s="391"/>
      <c r="AP225" s="391"/>
      <c r="AQ225" s="391">
        <v>1</v>
      </c>
      <c r="AR225" s="391"/>
      <c r="AS225" s="391"/>
      <c r="AT225" s="391"/>
      <c r="AU225" s="391"/>
      <c r="AV225" s="391">
        <v>1</v>
      </c>
      <c r="AW225" s="391" t="s">
        <v>1164</v>
      </c>
    </row>
    <row r="226" spans="1:49" s="390" customFormat="1" ht="54" customHeight="1">
      <c r="A226" s="422">
        <v>2</v>
      </c>
      <c r="B226" s="423" t="s">
        <v>1242</v>
      </c>
      <c r="C226" s="424" t="s">
        <v>39</v>
      </c>
      <c r="D226" s="425" t="s">
        <v>966</v>
      </c>
      <c r="E226" s="426" t="s">
        <v>867</v>
      </c>
      <c r="F226" s="388" t="s">
        <v>1209</v>
      </c>
      <c r="G226" s="426" t="s">
        <v>846</v>
      </c>
      <c r="H226" s="427">
        <v>4950</v>
      </c>
      <c r="I226" s="427">
        <v>4950</v>
      </c>
      <c r="J226" s="427"/>
      <c r="K226" s="427"/>
      <c r="L226" s="427"/>
      <c r="M226" s="427"/>
      <c r="N226" s="427"/>
      <c r="O226" s="427"/>
      <c r="P226" s="427"/>
      <c r="Q226" s="427"/>
      <c r="R226" s="427"/>
      <c r="S226" s="427"/>
      <c r="T226" s="427">
        <v>4800</v>
      </c>
      <c r="U226" s="427"/>
      <c r="V226" s="427"/>
      <c r="W226" s="427"/>
      <c r="X226" s="427">
        <v>200</v>
      </c>
      <c r="Y226" s="427"/>
      <c r="Z226" s="427"/>
      <c r="AA226" s="427"/>
      <c r="AB226" s="427">
        <v>4600</v>
      </c>
      <c r="AC226" s="427"/>
      <c r="AD226" s="427"/>
      <c r="AE226" s="427"/>
      <c r="AF226" s="339">
        <f t="shared" si="138"/>
        <v>0</v>
      </c>
      <c r="AG226" s="339">
        <f t="shared" si="139"/>
        <v>0</v>
      </c>
      <c r="AH226" s="427">
        <v>4600</v>
      </c>
      <c r="AI226" s="427"/>
      <c r="AJ226" s="427"/>
      <c r="AK226" s="427"/>
      <c r="AL226" s="424"/>
      <c r="AM226" s="400">
        <f t="shared" si="155"/>
        <v>0</v>
      </c>
      <c r="AO226" s="391"/>
      <c r="AP226" s="391"/>
      <c r="AQ226" s="391">
        <v>1</v>
      </c>
      <c r="AR226" s="391"/>
      <c r="AS226" s="391"/>
      <c r="AT226" s="391"/>
      <c r="AU226" s="391"/>
      <c r="AV226" s="391">
        <v>1</v>
      </c>
      <c r="AW226" s="391" t="s">
        <v>1164</v>
      </c>
    </row>
    <row r="227" spans="1:49" s="390" customFormat="1" ht="54" customHeight="1">
      <c r="A227" s="422">
        <v>3</v>
      </c>
      <c r="B227" s="423" t="s">
        <v>1243</v>
      </c>
      <c r="C227" s="424" t="s">
        <v>39</v>
      </c>
      <c r="D227" s="425" t="s">
        <v>966</v>
      </c>
      <c r="E227" s="426" t="s">
        <v>868</v>
      </c>
      <c r="F227" s="388" t="s">
        <v>1209</v>
      </c>
      <c r="G227" s="426" t="s">
        <v>848</v>
      </c>
      <c r="H227" s="427">
        <v>3550</v>
      </c>
      <c r="I227" s="427">
        <v>3550</v>
      </c>
      <c r="J227" s="427"/>
      <c r="K227" s="427"/>
      <c r="L227" s="427"/>
      <c r="M227" s="427"/>
      <c r="N227" s="427"/>
      <c r="O227" s="427"/>
      <c r="P227" s="427"/>
      <c r="Q227" s="427"/>
      <c r="R227" s="427"/>
      <c r="S227" s="427"/>
      <c r="T227" s="427">
        <v>3410</v>
      </c>
      <c r="U227" s="427"/>
      <c r="V227" s="427"/>
      <c r="W227" s="427"/>
      <c r="X227" s="427">
        <v>200</v>
      </c>
      <c r="Y227" s="427"/>
      <c r="Z227" s="427"/>
      <c r="AA227" s="427"/>
      <c r="AB227" s="427">
        <v>3210</v>
      </c>
      <c r="AC227" s="427"/>
      <c r="AD227" s="427"/>
      <c r="AE227" s="427"/>
      <c r="AF227" s="339">
        <f t="shared" si="138"/>
        <v>0</v>
      </c>
      <c r="AG227" s="339">
        <f t="shared" si="139"/>
        <v>0</v>
      </c>
      <c r="AH227" s="427">
        <v>3210</v>
      </c>
      <c r="AI227" s="427"/>
      <c r="AJ227" s="427"/>
      <c r="AK227" s="427"/>
      <c r="AL227" s="424"/>
      <c r="AM227" s="400">
        <f t="shared" si="155"/>
        <v>0</v>
      </c>
      <c r="AO227" s="391"/>
      <c r="AP227" s="391"/>
      <c r="AQ227" s="391">
        <v>1</v>
      </c>
      <c r="AR227" s="391"/>
      <c r="AS227" s="391"/>
      <c r="AT227" s="391"/>
      <c r="AU227" s="391"/>
      <c r="AV227" s="391">
        <v>1</v>
      </c>
      <c r="AW227" s="391" t="s">
        <v>1164</v>
      </c>
    </row>
    <row r="228" spans="1:49" s="414" customFormat="1" ht="54" customHeight="1">
      <c r="A228" s="404" t="s">
        <v>122</v>
      </c>
      <c r="B228" s="405" t="s">
        <v>1211</v>
      </c>
      <c r="C228" s="428"/>
      <c r="D228" s="429"/>
      <c r="E228" s="430"/>
      <c r="F228" s="428"/>
      <c r="G228" s="430"/>
      <c r="H228" s="431">
        <f>H229</f>
        <v>14500</v>
      </c>
      <c r="I228" s="431">
        <f t="shared" ref="I228:AG228" si="166">I229</f>
        <v>14500</v>
      </c>
      <c r="J228" s="431">
        <f t="shared" si="166"/>
        <v>0</v>
      </c>
      <c r="K228" s="431">
        <f t="shared" si="166"/>
        <v>0</v>
      </c>
      <c r="L228" s="431">
        <f t="shared" si="166"/>
        <v>0</v>
      </c>
      <c r="M228" s="431">
        <f t="shared" si="166"/>
        <v>0</v>
      </c>
      <c r="N228" s="431">
        <f t="shared" si="166"/>
        <v>0</v>
      </c>
      <c r="O228" s="431">
        <f t="shared" si="166"/>
        <v>0</v>
      </c>
      <c r="P228" s="431">
        <f t="shared" si="166"/>
        <v>0</v>
      </c>
      <c r="Q228" s="431">
        <f t="shared" si="166"/>
        <v>0</v>
      </c>
      <c r="R228" s="431">
        <f t="shared" si="166"/>
        <v>0</v>
      </c>
      <c r="S228" s="431">
        <f t="shared" si="166"/>
        <v>0</v>
      </c>
      <c r="T228" s="431">
        <f t="shared" si="166"/>
        <v>800</v>
      </c>
      <c r="U228" s="431">
        <f t="shared" si="166"/>
        <v>0</v>
      </c>
      <c r="V228" s="431">
        <f t="shared" si="166"/>
        <v>0</v>
      </c>
      <c r="W228" s="431">
        <f t="shared" si="166"/>
        <v>0</v>
      </c>
      <c r="X228" s="431">
        <f t="shared" si="166"/>
        <v>300</v>
      </c>
      <c r="Y228" s="431">
        <f t="shared" si="166"/>
        <v>0</v>
      </c>
      <c r="Z228" s="431">
        <f t="shared" si="166"/>
        <v>0</v>
      </c>
      <c r="AA228" s="431">
        <f t="shared" si="166"/>
        <v>0</v>
      </c>
      <c r="AB228" s="431">
        <f t="shared" si="166"/>
        <v>800</v>
      </c>
      <c r="AC228" s="431">
        <f t="shared" si="166"/>
        <v>0</v>
      </c>
      <c r="AD228" s="431">
        <f t="shared" si="166"/>
        <v>0</v>
      </c>
      <c r="AE228" s="431">
        <f t="shared" si="166"/>
        <v>0</v>
      </c>
      <c r="AF228" s="431">
        <f t="shared" si="166"/>
        <v>0</v>
      </c>
      <c r="AG228" s="431">
        <f t="shared" si="166"/>
        <v>300</v>
      </c>
      <c r="AH228" s="431">
        <f t="shared" ref="AH228:AK228" si="167">AH229</f>
        <v>500</v>
      </c>
      <c r="AI228" s="431">
        <f t="shared" si="167"/>
        <v>0</v>
      </c>
      <c r="AJ228" s="431">
        <f t="shared" si="167"/>
        <v>0</v>
      </c>
      <c r="AK228" s="431">
        <f t="shared" si="167"/>
        <v>0</v>
      </c>
      <c r="AL228" s="428"/>
      <c r="AM228" s="400">
        <f t="shared" si="155"/>
        <v>-300</v>
      </c>
      <c r="AO228" s="415"/>
      <c r="AP228" s="415"/>
      <c r="AQ228" s="415"/>
      <c r="AR228" s="415"/>
      <c r="AS228" s="415"/>
      <c r="AT228" s="415"/>
      <c r="AU228" s="415"/>
      <c r="AV228" s="415"/>
      <c r="AW228" s="415"/>
    </row>
    <row r="229" spans="1:49" s="390" customFormat="1" ht="67.5" customHeight="1">
      <c r="A229" s="422">
        <v>1</v>
      </c>
      <c r="B229" s="423" t="s">
        <v>624</v>
      </c>
      <c r="C229" s="424"/>
      <c r="D229" s="425"/>
      <c r="E229" s="426"/>
      <c r="F229" s="424"/>
      <c r="G229" s="426" t="s">
        <v>1043</v>
      </c>
      <c r="H229" s="427">
        <v>14500</v>
      </c>
      <c r="I229" s="427">
        <v>14500</v>
      </c>
      <c r="J229" s="427"/>
      <c r="K229" s="427"/>
      <c r="L229" s="427"/>
      <c r="M229" s="427"/>
      <c r="N229" s="427"/>
      <c r="O229" s="427"/>
      <c r="P229" s="427"/>
      <c r="Q229" s="427"/>
      <c r="R229" s="427"/>
      <c r="S229" s="427"/>
      <c r="T229" s="427">
        <v>800</v>
      </c>
      <c r="U229" s="427"/>
      <c r="V229" s="427"/>
      <c r="W229" s="427"/>
      <c r="X229" s="427">
        <v>300</v>
      </c>
      <c r="Y229" s="427"/>
      <c r="Z229" s="427"/>
      <c r="AA229" s="427"/>
      <c r="AB229" s="427">
        <v>800</v>
      </c>
      <c r="AC229" s="427"/>
      <c r="AD229" s="427"/>
      <c r="AE229" s="427"/>
      <c r="AF229" s="339">
        <f t="shared" si="138"/>
        <v>0</v>
      </c>
      <c r="AG229" s="339">
        <f t="shared" si="139"/>
        <v>300</v>
      </c>
      <c r="AH229" s="427">
        <v>500</v>
      </c>
      <c r="AI229" s="427"/>
      <c r="AJ229" s="427"/>
      <c r="AK229" s="427"/>
      <c r="AL229" s="388" t="s">
        <v>1247</v>
      </c>
      <c r="AM229" s="400">
        <f t="shared" si="155"/>
        <v>-300</v>
      </c>
      <c r="AO229" s="391">
        <v>1</v>
      </c>
      <c r="AP229" s="391"/>
      <c r="AQ229" s="391"/>
      <c r="AR229" s="391"/>
      <c r="AS229" s="391"/>
      <c r="AT229" s="391"/>
      <c r="AU229" s="391"/>
      <c r="AV229" s="391"/>
      <c r="AW229" s="391"/>
    </row>
    <row r="230" spans="1:49" s="396" customFormat="1" ht="48" customHeight="1">
      <c r="A230" s="269" t="s">
        <v>131</v>
      </c>
      <c r="B230" s="270" t="s">
        <v>617</v>
      </c>
      <c r="C230" s="418"/>
      <c r="D230" s="419"/>
      <c r="E230" s="420"/>
      <c r="F230" s="418"/>
      <c r="G230" s="420"/>
      <c r="H230" s="421">
        <f>H231</f>
        <v>8000</v>
      </c>
      <c r="I230" s="421">
        <f t="shared" ref="I230:AF231" si="168">I231</f>
        <v>8000</v>
      </c>
      <c r="J230" s="421">
        <f t="shared" si="168"/>
        <v>0</v>
      </c>
      <c r="K230" s="421">
        <f t="shared" si="168"/>
        <v>0</v>
      </c>
      <c r="L230" s="421">
        <f t="shared" si="168"/>
        <v>0</v>
      </c>
      <c r="M230" s="421">
        <f t="shared" si="168"/>
        <v>0</v>
      </c>
      <c r="N230" s="421">
        <f t="shared" si="168"/>
        <v>0</v>
      </c>
      <c r="O230" s="421">
        <f t="shared" si="168"/>
        <v>0</v>
      </c>
      <c r="P230" s="421">
        <f t="shared" si="168"/>
        <v>0</v>
      </c>
      <c r="Q230" s="421">
        <f t="shared" si="168"/>
        <v>0</v>
      </c>
      <c r="R230" s="421">
        <f t="shared" si="168"/>
        <v>0</v>
      </c>
      <c r="S230" s="421">
        <f t="shared" si="168"/>
        <v>0</v>
      </c>
      <c r="T230" s="421">
        <f t="shared" si="168"/>
        <v>387</v>
      </c>
      <c r="U230" s="421">
        <f t="shared" si="168"/>
        <v>0</v>
      </c>
      <c r="V230" s="421">
        <f t="shared" si="168"/>
        <v>0</v>
      </c>
      <c r="W230" s="421">
        <f t="shared" si="168"/>
        <v>0</v>
      </c>
      <c r="X230" s="421">
        <f t="shared" si="168"/>
        <v>0</v>
      </c>
      <c r="Y230" s="421">
        <f t="shared" si="168"/>
        <v>0</v>
      </c>
      <c r="Z230" s="421">
        <f t="shared" si="168"/>
        <v>0</v>
      </c>
      <c r="AA230" s="421">
        <f t="shared" si="168"/>
        <v>0</v>
      </c>
      <c r="AB230" s="421">
        <f t="shared" si="168"/>
        <v>0</v>
      </c>
      <c r="AC230" s="421">
        <f t="shared" si="168"/>
        <v>0</v>
      </c>
      <c r="AD230" s="421">
        <f t="shared" si="168"/>
        <v>0</v>
      </c>
      <c r="AE230" s="421">
        <f t="shared" si="168"/>
        <v>0</v>
      </c>
      <c r="AF230" s="421">
        <f t="shared" si="168"/>
        <v>387</v>
      </c>
      <c r="AG230" s="421">
        <f t="shared" ref="AF230:AG231" si="169">AG231</f>
        <v>0</v>
      </c>
      <c r="AH230" s="421">
        <f t="shared" ref="AH230:AK231" si="170">AH231</f>
        <v>387</v>
      </c>
      <c r="AI230" s="421">
        <f t="shared" si="170"/>
        <v>0</v>
      </c>
      <c r="AJ230" s="421">
        <f t="shared" si="170"/>
        <v>0</v>
      </c>
      <c r="AK230" s="421">
        <f t="shared" si="170"/>
        <v>0</v>
      </c>
      <c r="AL230" s="418"/>
      <c r="AM230" s="400">
        <f t="shared" si="155"/>
        <v>387</v>
      </c>
      <c r="AO230" s="397"/>
      <c r="AP230" s="397"/>
      <c r="AQ230" s="397"/>
      <c r="AR230" s="397"/>
      <c r="AS230" s="397"/>
      <c r="AT230" s="397"/>
      <c r="AU230" s="397"/>
      <c r="AV230" s="397"/>
      <c r="AW230" s="397"/>
    </row>
    <row r="231" spans="1:49" s="414" customFormat="1">
      <c r="A231" s="404" t="s">
        <v>120</v>
      </c>
      <c r="B231" s="405" t="s">
        <v>1192</v>
      </c>
      <c r="C231" s="428"/>
      <c r="D231" s="429"/>
      <c r="E231" s="430"/>
      <c r="F231" s="428"/>
      <c r="G231" s="430"/>
      <c r="H231" s="431">
        <f>H232</f>
        <v>8000</v>
      </c>
      <c r="I231" s="431">
        <f t="shared" si="168"/>
        <v>8000</v>
      </c>
      <c r="J231" s="431">
        <f t="shared" si="168"/>
        <v>0</v>
      </c>
      <c r="K231" s="431">
        <f t="shared" si="168"/>
        <v>0</v>
      </c>
      <c r="L231" s="431">
        <f t="shared" si="168"/>
        <v>0</v>
      </c>
      <c r="M231" s="431">
        <f t="shared" si="168"/>
        <v>0</v>
      </c>
      <c r="N231" s="431">
        <f t="shared" si="168"/>
        <v>0</v>
      </c>
      <c r="O231" s="431">
        <f t="shared" si="168"/>
        <v>0</v>
      </c>
      <c r="P231" s="431">
        <f t="shared" si="168"/>
        <v>0</v>
      </c>
      <c r="Q231" s="431">
        <f t="shared" si="168"/>
        <v>0</v>
      </c>
      <c r="R231" s="431">
        <f t="shared" si="168"/>
        <v>0</v>
      </c>
      <c r="S231" s="431">
        <f t="shared" si="168"/>
        <v>0</v>
      </c>
      <c r="T231" s="431">
        <f t="shared" si="168"/>
        <v>387</v>
      </c>
      <c r="U231" s="431">
        <f t="shared" si="168"/>
        <v>0</v>
      </c>
      <c r="V231" s="431">
        <f t="shared" si="168"/>
        <v>0</v>
      </c>
      <c r="W231" s="431">
        <f t="shared" si="168"/>
        <v>0</v>
      </c>
      <c r="X231" s="431">
        <f t="shared" si="168"/>
        <v>0</v>
      </c>
      <c r="Y231" s="431">
        <f t="shared" si="168"/>
        <v>0</v>
      </c>
      <c r="Z231" s="431">
        <f t="shared" si="168"/>
        <v>0</v>
      </c>
      <c r="AA231" s="431">
        <f t="shared" si="168"/>
        <v>0</v>
      </c>
      <c r="AB231" s="431">
        <f t="shared" si="168"/>
        <v>0</v>
      </c>
      <c r="AC231" s="431">
        <f t="shared" si="168"/>
        <v>0</v>
      </c>
      <c r="AD231" s="431">
        <f t="shared" si="168"/>
        <v>0</v>
      </c>
      <c r="AE231" s="431">
        <f t="shared" si="168"/>
        <v>0</v>
      </c>
      <c r="AF231" s="431">
        <f t="shared" si="169"/>
        <v>387</v>
      </c>
      <c r="AG231" s="431">
        <f t="shared" si="169"/>
        <v>0</v>
      </c>
      <c r="AH231" s="431">
        <f t="shared" si="170"/>
        <v>387</v>
      </c>
      <c r="AI231" s="431">
        <f t="shared" si="170"/>
        <v>0</v>
      </c>
      <c r="AJ231" s="431">
        <f t="shared" si="170"/>
        <v>0</v>
      </c>
      <c r="AK231" s="431">
        <f t="shared" si="170"/>
        <v>0</v>
      </c>
      <c r="AL231" s="428"/>
      <c r="AM231" s="400">
        <f t="shared" si="155"/>
        <v>387</v>
      </c>
      <c r="AO231" s="415"/>
      <c r="AP231" s="415"/>
      <c r="AQ231" s="415"/>
      <c r="AR231" s="415"/>
      <c r="AS231" s="415"/>
      <c r="AT231" s="415"/>
      <c r="AU231" s="415"/>
      <c r="AV231" s="415"/>
      <c r="AW231" s="415"/>
    </row>
    <row r="232" spans="1:49" s="390" customFormat="1" ht="159.75" customHeight="1">
      <c r="A232" s="422">
        <v>1</v>
      </c>
      <c r="B232" s="423" t="s">
        <v>618</v>
      </c>
      <c r="C232" s="424"/>
      <c r="D232" s="425"/>
      <c r="E232" s="426"/>
      <c r="F232" s="424"/>
      <c r="G232" s="426" t="s">
        <v>1051</v>
      </c>
      <c r="H232" s="427">
        <v>8000</v>
      </c>
      <c r="I232" s="427">
        <v>8000</v>
      </c>
      <c r="J232" s="427"/>
      <c r="K232" s="427"/>
      <c r="L232" s="427"/>
      <c r="M232" s="427"/>
      <c r="N232" s="427"/>
      <c r="O232" s="427"/>
      <c r="P232" s="427"/>
      <c r="Q232" s="427"/>
      <c r="R232" s="427"/>
      <c r="S232" s="427"/>
      <c r="T232" s="427">
        <v>387</v>
      </c>
      <c r="U232" s="427"/>
      <c r="V232" s="427"/>
      <c r="W232" s="427"/>
      <c r="X232" s="427"/>
      <c r="Y232" s="427"/>
      <c r="Z232" s="427"/>
      <c r="AA232" s="427"/>
      <c r="AB232" s="427">
        <v>0</v>
      </c>
      <c r="AC232" s="427"/>
      <c r="AD232" s="427"/>
      <c r="AE232" s="427"/>
      <c r="AF232" s="339">
        <f t="shared" si="138"/>
        <v>387</v>
      </c>
      <c r="AG232" s="339">
        <f t="shared" si="139"/>
        <v>0</v>
      </c>
      <c r="AH232" s="427">
        <v>387</v>
      </c>
      <c r="AI232" s="427"/>
      <c r="AJ232" s="427"/>
      <c r="AK232" s="427"/>
      <c r="AL232" s="388"/>
      <c r="AM232" s="400">
        <f t="shared" si="155"/>
        <v>387</v>
      </c>
      <c r="AO232" s="391"/>
      <c r="AP232" s="391"/>
      <c r="AQ232" s="391"/>
      <c r="AR232" s="391"/>
      <c r="AS232" s="391">
        <v>1</v>
      </c>
      <c r="AT232" s="391"/>
      <c r="AU232" s="391"/>
      <c r="AV232" s="391"/>
      <c r="AW232" s="391"/>
    </row>
    <row r="233" spans="1:49">
      <c r="A233" s="432"/>
      <c r="B233" s="433"/>
      <c r="C233" s="434"/>
      <c r="D233" s="434"/>
      <c r="E233" s="434"/>
      <c r="F233" s="434"/>
      <c r="G233" s="434"/>
      <c r="H233" s="435"/>
      <c r="I233" s="435"/>
      <c r="J233" s="435"/>
      <c r="K233" s="435"/>
      <c r="L233" s="435"/>
      <c r="M233" s="435"/>
      <c r="N233" s="435"/>
      <c r="O233" s="435"/>
      <c r="P233" s="435"/>
      <c r="Q233" s="435"/>
      <c r="R233" s="435"/>
      <c r="S233" s="435"/>
      <c r="T233" s="435"/>
      <c r="U233" s="435"/>
      <c r="V233" s="435"/>
      <c r="W233" s="435"/>
      <c r="X233" s="435"/>
      <c r="Y233" s="435"/>
      <c r="Z233" s="435"/>
      <c r="AA233" s="435"/>
      <c r="AB233" s="435"/>
      <c r="AC233" s="435"/>
      <c r="AD233" s="435"/>
      <c r="AE233" s="435"/>
      <c r="AF233" s="435"/>
      <c r="AG233" s="435"/>
      <c r="AH233" s="435"/>
      <c r="AI233" s="435"/>
      <c r="AJ233" s="435"/>
      <c r="AK233" s="435"/>
      <c r="AL233" s="435"/>
      <c r="AO233" s="437"/>
      <c r="AP233" s="437"/>
      <c r="AQ233" s="437"/>
      <c r="AR233" s="437"/>
      <c r="AS233" s="437"/>
      <c r="AT233" s="437"/>
      <c r="AU233" s="437"/>
      <c r="AV233" s="437"/>
      <c r="AW233" s="437"/>
    </row>
    <row r="234" spans="1:49" ht="27.75" customHeight="1"/>
    <row r="235" spans="1:49" ht="27.75" customHeight="1"/>
    <row r="236" spans="1:49" ht="27.75" customHeight="1"/>
    <row r="237" spans="1:49" ht="27.75" customHeight="1"/>
    <row r="238" spans="1:49" ht="27.75" customHeight="1"/>
    <row r="239" spans="1:49" ht="27.75" customHeight="1"/>
    <row r="240" spans="1:49" ht="27.75" customHeight="1"/>
    <row r="241" spans="2:39" ht="27.75" customHeight="1"/>
    <row r="242" spans="2:39" ht="27.75" customHeight="1"/>
    <row r="243" spans="2:39" ht="27.75" customHeight="1"/>
    <row r="244" spans="2:39" ht="27.75" customHeight="1"/>
    <row r="245" spans="2:39" ht="27.75" customHeight="1"/>
    <row r="246" spans="2:39" ht="27.75" customHeight="1">
      <c r="B246" s="711"/>
      <c r="C246" s="711"/>
      <c r="D246" s="711"/>
      <c r="E246" s="711"/>
      <c r="F246" s="711"/>
      <c r="G246" s="711"/>
      <c r="H246" s="711"/>
      <c r="I246" s="711"/>
      <c r="J246" s="711"/>
      <c r="K246" s="711"/>
      <c r="L246" s="711"/>
      <c r="M246" s="711"/>
      <c r="N246" s="711"/>
      <c r="O246" s="711"/>
      <c r="P246" s="711"/>
      <c r="Q246" s="711"/>
      <c r="R246" s="711"/>
      <c r="S246" s="711"/>
      <c r="T246" s="441"/>
      <c r="U246" s="441"/>
      <c r="V246" s="441"/>
      <c r="W246" s="441"/>
      <c r="X246" s="441"/>
      <c r="Y246" s="441"/>
      <c r="Z246" s="441"/>
      <c r="AA246" s="441"/>
      <c r="AB246" s="441"/>
      <c r="AC246" s="441"/>
      <c r="AD246" s="441"/>
      <c r="AE246" s="441"/>
      <c r="AF246" s="441"/>
      <c r="AG246" s="441"/>
      <c r="AH246" s="441"/>
      <c r="AI246" s="441"/>
      <c r="AJ246" s="441"/>
      <c r="AK246" s="441"/>
    </row>
    <row r="247" spans="2:39" ht="27.75" customHeight="1"/>
    <row r="248" spans="2:39" ht="27.75" customHeight="1">
      <c r="B248" s="382"/>
      <c r="C248" s="382"/>
      <c r="D248" s="382"/>
      <c r="E248" s="382"/>
      <c r="F248" s="382"/>
      <c r="G248" s="382"/>
      <c r="H248" s="382"/>
      <c r="I248" s="382"/>
      <c r="J248" s="382"/>
      <c r="K248" s="382"/>
      <c r="L248" s="382"/>
      <c r="M248" s="382"/>
      <c r="N248" s="382"/>
      <c r="O248" s="382"/>
      <c r="P248" s="382"/>
      <c r="Q248" s="382"/>
      <c r="R248" s="382"/>
      <c r="S248" s="382"/>
      <c r="T248" s="382"/>
      <c r="U248" s="382"/>
      <c r="V248" s="382"/>
      <c r="W248" s="382"/>
      <c r="X248" s="382"/>
      <c r="Y248" s="382"/>
      <c r="Z248" s="382"/>
      <c r="AA248" s="382"/>
      <c r="AB248" s="382"/>
      <c r="AC248" s="382"/>
      <c r="AD248" s="382"/>
      <c r="AE248" s="382"/>
      <c r="AF248" s="382"/>
      <c r="AG248" s="382"/>
      <c r="AH248" s="382"/>
      <c r="AI248" s="382"/>
      <c r="AJ248" s="382"/>
      <c r="AK248" s="382"/>
      <c r="AL248" s="382"/>
      <c r="AM248" s="382"/>
    </row>
    <row r="249" spans="2:39" ht="27.75" customHeight="1">
      <c r="B249" s="382"/>
      <c r="C249" s="382"/>
      <c r="D249" s="382"/>
      <c r="E249" s="382"/>
      <c r="F249" s="382"/>
      <c r="G249" s="382"/>
      <c r="H249" s="382"/>
      <c r="I249" s="382"/>
      <c r="J249" s="382"/>
      <c r="K249" s="382"/>
      <c r="L249" s="382"/>
      <c r="M249" s="382"/>
      <c r="N249" s="382"/>
      <c r="O249" s="382"/>
      <c r="P249" s="382"/>
      <c r="Q249" s="382"/>
      <c r="R249" s="382"/>
      <c r="S249" s="382"/>
      <c r="T249" s="382"/>
      <c r="U249" s="382"/>
      <c r="V249" s="382"/>
      <c r="W249" s="382"/>
      <c r="X249" s="382"/>
      <c r="Y249" s="382"/>
      <c r="Z249" s="382"/>
      <c r="AA249" s="382"/>
      <c r="AB249" s="382"/>
      <c r="AC249" s="382"/>
      <c r="AD249" s="382"/>
      <c r="AE249" s="382"/>
      <c r="AF249" s="382"/>
      <c r="AG249" s="382"/>
      <c r="AH249" s="382"/>
      <c r="AI249" s="382"/>
      <c r="AJ249" s="382"/>
      <c r="AK249" s="382"/>
      <c r="AL249" s="382"/>
      <c r="AM249" s="382"/>
    </row>
    <row r="250" spans="2:39" ht="27.75" customHeight="1">
      <c r="B250" s="382"/>
      <c r="C250" s="382"/>
      <c r="D250" s="382"/>
      <c r="E250" s="382"/>
      <c r="F250" s="382"/>
      <c r="G250" s="382"/>
      <c r="H250" s="382"/>
      <c r="I250" s="382"/>
      <c r="J250" s="382"/>
      <c r="K250" s="382"/>
      <c r="L250" s="382"/>
      <c r="M250" s="382"/>
      <c r="N250" s="382"/>
      <c r="O250" s="382"/>
      <c r="P250" s="382"/>
      <c r="Q250" s="382"/>
      <c r="R250" s="382"/>
      <c r="S250" s="382"/>
      <c r="T250" s="382"/>
      <c r="U250" s="382"/>
      <c r="V250" s="382"/>
      <c r="W250" s="382"/>
      <c r="X250" s="382"/>
      <c r="Y250" s="382"/>
      <c r="Z250" s="382"/>
      <c r="AA250" s="382"/>
      <c r="AB250" s="382"/>
      <c r="AC250" s="382"/>
      <c r="AD250" s="382"/>
      <c r="AE250" s="382"/>
      <c r="AF250" s="382"/>
      <c r="AG250" s="382"/>
      <c r="AH250" s="382"/>
      <c r="AI250" s="382"/>
      <c r="AJ250" s="382"/>
      <c r="AK250" s="382"/>
      <c r="AL250" s="382"/>
      <c r="AM250" s="382"/>
    </row>
    <row r="251" spans="2:39" ht="27.75" customHeight="1">
      <c r="B251" s="382"/>
      <c r="C251" s="382"/>
      <c r="D251" s="382"/>
      <c r="E251" s="382"/>
      <c r="F251" s="382"/>
      <c r="G251" s="382"/>
      <c r="H251" s="382"/>
      <c r="I251" s="382"/>
      <c r="J251" s="382"/>
      <c r="K251" s="382"/>
      <c r="L251" s="382"/>
      <c r="M251" s="382"/>
      <c r="N251" s="382"/>
      <c r="O251" s="382"/>
      <c r="P251" s="382"/>
      <c r="Q251" s="382"/>
      <c r="R251" s="382"/>
      <c r="S251" s="382"/>
      <c r="T251" s="382"/>
      <c r="U251" s="382"/>
      <c r="V251" s="382"/>
      <c r="W251" s="382"/>
      <c r="X251" s="382"/>
      <c r="Y251" s="382"/>
      <c r="Z251" s="382"/>
      <c r="AA251" s="382"/>
      <c r="AB251" s="382"/>
      <c r="AC251" s="382"/>
      <c r="AD251" s="382"/>
      <c r="AE251" s="382"/>
      <c r="AF251" s="382"/>
      <c r="AG251" s="382"/>
      <c r="AH251" s="382"/>
      <c r="AI251" s="382"/>
      <c r="AJ251" s="382"/>
      <c r="AK251" s="382"/>
      <c r="AL251" s="382"/>
      <c r="AM251" s="382"/>
    </row>
    <row r="252" spans="2:39" ht="27.75" customHeight="1">
      <c r="B252" s="382"/>
      <c r="C252" s="382"/>
      <c r="D252" s="382"/>
      <c r="E252" s="382"/>
      <c r="F252" s="382"/>
      <c r="G252" s="382"/>
      <c r="H252" s="382"/>
      <c r="I252" s="382"/>
      <c r="J252" s="382"/>
      <c r="K252" s="382"/>
      <c r="L252" s="382"/>
      <c r="M252" s="382"/>
      <c r="N252" s="382"/>
      <c r="O252" s="382"/>
      <c r="P252" s="382"/>
      <c r="Q252" s="382"/>
      <c r="R252" s="382"/>
      <c r="S252" s="382"/>
      <c r="T252" s="382"/>
      <c r="U252" s="382"/>
      <c r="V252" s="382"/>
      <c r="W252" s="382"/>
      <c r="X252" s="382"/>
      <c r="Y252" s="382"/>
      <c r="Z252" s="382"/>
      <c r="AA252" s="382"/>
      <c r="AB252" s="382"/>
      <c r="AC252" s="382"/>
      <c r="AD252" s="382"/>
      <c r="AE252" s="382"/>
      <c r="AF252" s="382"/>
      <c r="AG252" s="382"/>
      <c r="AH252" s="382"/>
      <c r="AI252" s="382"/>
      <c r="AJ252" s="382"/>
      <c r="AK252" s="382"/>
      <c r="AL252" s="382"/>
      <c r="AM252" s="382"/>
    </row>
    <row r="253" spans="2:39" ht="27.75" customHeight="1">
      <c r="B253" s="382"/>
      <c r="C253" s="382"/>
      <c r="D253" s="382"/>
      <c r="E253" s="382"/>
      <c r="F253" s="382"/>
      <c r="G253" s="382"/>
      <c r="H253" s="382"/>
      <c r="I253" s="382"/>
      <c r="J253" s="382"/>
      <c r="K253" s="382"/>
      <c r="L253" s="382"/>
      <c r="M253" s="382"/>
      <c r="N253" s="382"/>
      <c r="O253" s="382"/>
      <c r="P253" s="382"/>
      <c r="Q253" s="382"/>
      <c r="R253" s="382"/>
      <c r="S253" s="382"/>
      <c r="T253" s="382"/>
      <c r="U253" s="382"/>
      <c r="V253" s="382"/>
      <c r="W253" s="382"/>
      <c r="X253" s="382"/>
      <c r="Y253" s="382"/>
      <c r="Z253" s="382"/>
      <c r="AA253" s="382"/>
      <c r="AB253" s="382"/>
      <c r="AC253" s="382"/>
      <c r="AD253" s="382"/>
      <c r="AE253" s="382"/>
      <c r="AF253" s="382"/>
      <c r="AG253" s="382"/>
      <c r="AH253" s="382"/>
      <c r="AI253" s="382"/>
      <c r="AJ253" s="382"/>
      <c r="AK253" s="382"/>
      <c r="AL253" s="382"/>
      <c r="AM253" s="382"/>
    </row>
    <row r="254" spans="2:39" ht="27.75" customHeight="1">
      <c r="B254" s="382"/>
      <c r="C254" s="382"/>
      <c r="D254" s="382"/>
      <c r="E254" s="382"/>
      <c r="F254" s="382"/>
      <c r="G254" s="382"/>
      <c r="H254" s="382"/>
      <c r="I254" s="382"/>
      <c r="J254" s="382"/>
      <c r="K254" s="382"/>
      <c r="L254" s="382"/>
      <c r="M254" s="382"/>
      <c r="N254" s="382"/>
      <c r="O254" s="382"/>
      <c r="P254" s="382"/>
      <c r="Q254" s="382"/>
      <c r="R254" s="382"/>
      <c r="S254" s="382"/>
      <c r="T254" s="382"/>
      <c r="U254" s="382"/>
      <c r="V254" s="382"/>
      <c r="W254" s="382"/>
      <c r="X254" s="382"/>
      <c r="Y254" s="382"/>
      <c r="Z254" s="382"/>
      <c r="AA254" s="382"/>
      <c r="AB254" s="382"/>
      <c r="AC254" s="382"/>
      <c r="AD254" s="382"/>
      <c r="AE254" s="382"/>
      <c r="AF254" s="382"/>
      <c r="AG254" s="382"/>
      <c r="AH254" s="382"/>
      <c r="AI254" s="382"/>
      <c r="AJ254" s="382"/>
      <c r="AK254" s="382"/>
      <c r="AL254" s="382"/>
      <c r="AM254" s="382"/>
    </row>
    <row r="255" spans="2:39" ht="27.75" customHeight="1">
      <c r="B255" s="382"/>
      <c r="C255" s="382"/>
      <c r="D255" s="382"/>
      <c r="E255" s="382"/>
      <c r="F255" s="382"/>
      <c r="G255" s="382"/>
      <c r="H255" s="382"/>
      <c r="I255" s="382"/>
      <c r="J255" s="382"/>
      <c r="K255" s="382"/>
      <c r="L255" s="382"/>
      <c r="M255" s="382"/>
      <c r="N255" s="382"/>
      <c r="O255" s="382"/>
      <c r="P255" s="382"/>
      <c r="Q255" s="382"/>
      <c r="R255" s="382"/>
      <c r="S255" s="382"/>
      <c r="T255" s="382"/>
      <c r="U255" s="382"/>
      <c r="V255" s="382"/>
      <c r="W255" s="382"/>
      <c r="X255" s="382"/>
      <c r="Y255" s="382"/>
      <c r="Z255" s="382"/>
      <c r="AA255" s="382"/>
      <c r="AB255" s="382"/>
      <c r="AC255" s="382"/>
      <c r="AD255" s="382"/>
      <c r="AE255" s="382"/>
      <c r="AF255" s="382"/>
      <c r="AG255" s="382"/>
      <c r="AH255" s="382"/>
      <c r="AI255" s="382"/>
      <c r="AJ255" s="382"/>
      <c r="AK255" s="382"/>
      <c r="AL255" s="382"/>
      <c r="AM255" s="382"/>
    </row>
    <row r="256" spans="2:39" ht="27.75" customHeight="1">
      <c r="B256" s="382"/>
      <c r="C256" s="382"/>
      <c r="D256" s="382"/>
      <c r="E256" s="382"/>
      <c r="F256" s="382"/>
      <c r="G256" s="382"/>
      <c r="H256" s="382"/>
      <c r="I256" s="382"/>
      <c r="J256" s="382"/>
      <c r="K256" s="382"/>
      <c r="L256" s="382"/>
      <c r="M256" s="382"/>
      <c r="N256" s="382"/>
      <c r="O256" s="382"/>
      <c r="P256" s="382"/>
      <c r="Q256" s="382"/>
      <c r="R256" s="382"/>
      <c r="S256" s="382"/>
      <c r="T256" s="382"/>
      <c r="U256" s="382"/>
      <c r="V256" s="382"/>
      <c r="W256" s="382"/>
      <c r="X256" s="382"/>
      <c r="Y256" s="382"/>
      <c r="Z256" s="382"/>
      <c r="AA256" s="382"/>
      <c r="AB256" s="382"/>
      <c r="AC256" s="382"/>
      <c r="AD256" s="382"/>
      <c r="AE256" s="382"/>
      <c r="AF256" s="382"/>
      <c r="AG256" s="382"/>
      <c r="AH256" s="382"/>
      <c r="AI256" s="382"/>
      <c r="AJ256" s="382"/>
      <c r="AK256" s="382"/>
      <c r="AL256" s="382"/>
      <c r="AM256" s="382"/>
    </row>
    <row r="257" spans="2:39" ht="27.75" customHeight="1">
      <c r="B257" s="382"/>
      <c r="C257" s="382"/>
      <c r="D257" s="382"/>
      <c r="E257" s="382"/>
      <c r="F257" s="382"/>
      <c r="G257" s="382"/>
      <c r="H257" s="382"/>
      <c r="I257" s="382"/>
      <c r="J257" s="382"/>
      <c r="K257" s="382"/>
      <c r="L257" s="382"/>
      <c r="M257" s="382"/>
      <c r="N257" s="382"/>
      <c r="O257" s="382"/>
      <c r="P257" s="382"/>
      <c r="Q257" s="382"/>
      <c r="R257" s="382"/>
      <c r="S257" s="382"/>
      <c r="T257" s="382"/>
      <c r="U257" s="382"/>
      <c r="V257" s="382"/>
      <c r="W257" s="382"/>
      <c r="X257" s="382"/>
      <c r="Y257" s="382"/>
      <c r="Z257" s="382"/>
      <c r="AA257" s="382"/>
      <c r="AB257" s="382"/>
      <c r="AC257" s="382"/>
      <c r="AD257" s="382"/>
      <c r="AE257" s="382"/>
      <c r="AF257" s="382"/>
      <c r="AG257" s="382"/>
      <c r="AH257" s="382"/>
      <c r="AI257" s="382"/>
      <c r="AJ257" s="382"/>
      <c r="AK257" s="382"/>
      <c r="AL257" s="382"/>
      <c r="AM257" s="382"/>
    </row>
    <row r="258" spans="2:39" ht="27.75" customHeight="1">
      <c r="B258" s="382"/>
      <c r="C258" s="382"/>
      <c r="D258" s="382"/>
      <c r="E258" s="382"/>
      <c r="F258" s="382"/>
      <c r="G258" s="382"/>
      <c r="H258" s="382"/>
      <c r="I258" s="382"/>
      <c r="J258" s="382"/>
      <c r="K258" s="382"/>
      <c r="L258" s="382"/>
      <c r="M258" s="382"/>
      <c r="N258" s="382"/>
      <c r="O258" s="382"/>
      <c r="P258" s="382"/>
      <c r="Q258" s="382"/>
      <c r="R258" s="382"/>
      <c r="S258" s="382"/>
      <c r="T258" s="382"/>
      <c r="U258" s="382"/>
      <c r="V258" s="382"/>
      <c r="W258" s="382"/>
      <c r="X258" s="382"/>
      <c r="Y258" s="382"/>
      <c r="Z258" s="382"/>
      <c r="AA258" s="382"/>
      <c r="AB258" s="382"/>
      <c r="AC258" s="382"/>
      <c r="AD258" s="382"/>
      <c r="AE258" s="382"/>
      <c r="AF258" s="382"/>
      <c r="AG258" s="382"/>
      <c r="AH258" s="382"/>
      <c r="AI258" s="382"/>
      <c r="AJ258" s="382"/>
      <c r="AK258" s="382"/>
      <c r="AL258" s="382"/>
      <c r="AM258" s="382"/>
    </row>
    <row r="259" spans="2:39" ht="27.75" customHeight="1">
      <c r="B259" s="382"/>
      <c r="C259" s="382"/>
      <c r="D259" s="382"/>
      <c r="E259" s="382"/>
      <c r="F259" s="382"/>
      <c r="G259" s="382"/>
      <c r="H259" s="382"/>
      <c r="I259" s="382"/>
      <c r="J259" s="382"/>
      <c r="K259" s="382"/>
      <c r="L259" s="382"/>
      <c r="M259" s="382"/>
      <c r="N259" s="382"/>
      <c r="O259" s="382"/>
      <c r="P259" s="382"/>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row>
    <row r="260" spans="2:39" ht="27.75" customHeight="1">
      <c r="B260" s="382"/>
      <c r="C260" s="382"/>
      <c r="D260" s="382"/>
      <c r="E260" s="382"/>
      <c r="F260" s="382"/>
      <c r="G260" s="382"/>
      <c r="H260" s="382"/>
      <c r="I260" s="382"/>
      <c r="J260" s="382"/>
      <c r="K260" s="382"/>
      <c r="L260" s="382"/>
      <c r="M260" s="382"/>
      <c r="N260" s="382"/>
      <c r="O260" s="382"/>
      <c r="P260" s="382"/>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row>
    <row r="261" spans="2:39" ht="27.75" customHeight="1">
      <c r="B261" s="382"/>
      <c r="C261" s="382"/>
      <c r="D261" s="382"/>
      <c r="E261" s="382"/>
      <c r="F261" s="382"/>
      <c r="G261" s="382"/>
      <c r="H261" s="382"/>
      <c r="I261" s="382"/>
      <c r="J261" s="382"/>
      <c r="K261" s="382"/>
      <c r="L261" s="382"/>
      <c r="M261" s="382"/>
      <c r="N261" s="382"/>
      <c r="O261" s="382"/>
      <c r="P261" s="382"/>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row>
    <row r="262" spans="2:39" ht="27.75" customHeight="1">
      <c r="B262" s="382"/>
      <c r="C262" s="382"/>
      <c r="D262" s="382"/>
      <c r="E262" s="382"/>
      <c r="F262" s="382"/>
      <c r="G262" s="382"/>
      <c r="H262" s="382"/>
      <c r="I262" s="382"/>
      <c r="J262" s="382"/>
      <c r="K262" s="382"/>
      <c r="L262" s="382"/>
      <c r="M262" s="382"/>
      <c r="N262" s="382"/>
      <c r="O262" s="382"/>
      <c r="P262" s="382"/>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row>
    <row r="263" spans="2:39" ht="27.75" customHeight="1">
      <c r="B263" s="382"/>
      <c r="C263" s="382"/>
      <c r="D263" s="382"/>
      <c r="E263" s="382"/>
      <c r="F263" s="382"/>
      <c r="G263" s="382"/>
      <c r="H263" s="382"/>
      <c r="I263" s="382"/>
      <c r="J263" s="382"/>
      <c r="K263" s="382"/>
      <c r="L263" s="382"/>
      <c r="M263" s="382"/>
      <c r="N263" s="382"/>
      <c r="O263" s="382"/>
      <c r="P263" s="382"/>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row>
    <row r="264" spans="2:39" ht="27.75" customHeight="1">
      <c r="B264" s="382"/>
      <c r="C264" s="382"/>
      <c r="D264" s="382"/>
      <c r="E264" s="382"/>
      <c r="F264" s="382"/>
      <c r="G264" s="382"/>
      <c r="H264" s="382"/>
      <c r="I264" s="382"/>
      <c r="J264" s="382"/>
      <c r="K264" s="382"/>
      <c r="L264" s="382"/>
      <c r="M264" s="382"/>
      <c r="N264" s="382"/>
      <c r="O264" s="382"/>
      <c r="P264" s="382"/>
      <c r="Q264" s="382"/>
      <c r="R264" s="382"/>
      <c r="S264" s="382"/>
      <c r="T264" s="382"/>
      <c r="U264" s="382"/>
      <c r="V264" s="382"/>
      <c r="W264" s="382"/>
      <c r="X264" s="382"/>
      <c r="Y264" s="382"/>
      <c r="Z264" s="382"/>
      <c r="AA264" s="382"/>
      <c r="AB264" s="382"/>
      <c r="AC264" s="382"/>
      <c r="AD264" s="382"/>
      <c r="AE264" s="382"/>
      <c r="AF264" s="382"/>
      <c r="AG264" s="382"/>
      <c r="AH264" s="382"/>
      <c r="AI264" s="382"/>
      <c r="AJ264" s="382"/>
      <c r="AK264" s="382"/>
      <c r="AL264" s="382"/>
      <c r="AM264" s="382"/>
    </row>
    <row r="265" spans="2:39" ht="27.75" customHeight="1">
      <c r="B265" s="382"/>
      <c r="C265" s="382"/>
      <c r="D265" s="382"/>
      <c r="E265" s="382"/>
      <c r="F265" s="382"/>
      <c r="G265" s="382"/>
      <c r="H265" s="382"/>
      <c r="I265" s="382"/>
      <c r="J265" s="382"/>
      <c r="K265" s="382"/>
      <c r="L265" s="382"/>
      <c r="M265" s="382"/>
      <c r="N265" s="382"/>
      <c r="O265" s="382"/>
      <c r="P265" s="382"/>
      <c r="Q265" s="382"/>
      <c r="R265" s="382"/>
      <c r="S265" s="382"/>
      <c r="T265" s="382"/>
      <c r="U265" s="382"/>
      <c r="V265" s="382"/>
      <c r="W265" s="382"/>
      <c r="X265" s="382"/>
      <c r="Y265" s="382"/>
      <c r="Z265" s="382"/>
      <c r="AA265" s="382"/>
      <c r="AB265" s="382"/>
      <c r="AC265" s="382"/>
      <c r="AD265" s="382"/>
      <c r="AE265" s="382"/>
      <c r="AF265" s="382"/>
      <c r="AG265" s="382"/>
      <c r="AH265" s="382"/>
      <c r="AI265" s="382"/>
      <c r="AJ265" s="382"/>
      <c r="AK265" s="382"/>
      <c r="AL265" s="382"/>
      <c r="AM265" s="382"/>
    </row>
    <row r="266" spans="2:39" ht="27.75" customHeight="1">
      <c r="B266" s="382"/>
      <c r="C266" s="382"/>
      <c r="D266" s="382"/>
      <c r="E266" s="382"/>
      <c r="F266" s="382"/>
      <c r="G266" s="382"/>
      <c r="H266" s="382"/>
      <c r="I266" s="382"/>
      <c r="J266" s="382"/>
      <c r="K266" s="382"/>
      <c r="L266" s="382"/>
      <c r="M266" s="382"/>
      <c r="N266" s="382"/>
      <c r="O266" s="382"/>
      <c r="P266" s="382"/>
      <c r="Q266" s="382"/>
      <c r="R266" s="382"/>
      <c r="S266" s="382"/>
      <c r="T266" s="382"/>
      <c r="U266" s="382"/>
      <c r="V266" s="382"/>
      <c r="W266" s="382"/>
      <c r="X266" s="382"/>
      <c r="Y266" s="382"/>
      <c r="Z266" s="382"/>
      <c r="AA266" s="382"/>
      <c r="AB266" s="382"/>
      <c r="AC266" s="382"/>
      <c r="AD266" s="382"/>
      <c r="AE266" s="382"/>
      <c r="AF266" s="382"/>
      <c r="AG266" s="382"/>
      <c r="AH266" s="382"/>
      <c r="AI266" s="382"/>
      <c r="AJ266" s="382"/>
      <c r="AK266" s="382"/>
      <c r="AL266" s="382"/>
      <c r="AM266" s="382"/>
    </row>
    <row r="267" spans="2:39" ht="27.75" customHeight="1">
      <c r="B267" s="382"/>
      <c r="C267" s="382"/>
      <c r="D267" s="382"/>
      <c r="E267" s="382"/>
      <c r="F267" s="382"/>
      <c r="G267" s="382"/>
      <c r="H267" s="382"/>
      <c r="I267" s="382"/>
      <c r="J267" s="382"/>
      <c r="K267" s="382"/>
      <c r="L267" s="382"/>
      <c r="M267" s="382"/>
      <c r="N267" s="382"/>
      <c r="O267" s="382"/>
      <c r="P267" s="382"/>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row>
    <row r="268" spans="2:39" ht="27.75" customHeight="1">
      <c r="B268" s="382"/>
      <c r="C268" s="382"/>
      <c r="D268" s="382"/>
      <c r="E268" s="382"/>
      <c r="F268" s="382"/>
      <c r="G268" s="382"/>
      <c r="H268" s="382"/>
      <c r="I268" s="382"/>
      <c r="J268" s="382"/>
      <c r="K268" s="382"/>
      <c r="L268" s="382"/>
      <c r="M268" s="382"/>
      <c r="N268" s="382"/>
      <c r="O268" s="382"/>
      <c r="P268" s="382"/>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row>
    <row r="269" spans="2:39" ht="27.75" customHeight="1">
      <c r="B269" s="382"/>
      <c r="C269" s="382"/>
      <c r="D269" s="382"/>
      <c r="E269" s="382"/>
      <c r="F269" s="382"/>
      <c r="G269" s="382"/>
      <c r="H269" s="382"/>
      <c r="I269" s="382"/>
      <c r="J269" s="382"/>
      <c r="K269" s="382"/>
      <c r="L269" s="382"/>
      <c r="M269" s="382"/>
      <c r="N269" s="382"/>
      <c r="O269" s="382"/>
      <c r="P269" s="382"/>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row>
    <row r="270" spans="2:39" ht="27.75" customHeight="1">
      <c r="B270" s="382"/>
      <c r="C270" s="382"/>
      <c r="D270" s="382"/>
      <c r="E270" s="382"/>
      <c r="F270" s="382"/>
      <c r="G270" s="382"/>
      <c r="H270" s="382"/>
      <c r="I270" s="382"/>
      <c r="J270" s="382"/>
      <c r="K270" s="382"/>
      <c r="L270" s="382"/>
      <c r="M270" s="382"/>
      <c r="N270" s="382"/>
      <c r="O270" s="382"/>
      <c r="P270" s="382"/>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2"/>
      <c r="AL270" s="382"/>
      <c r="AM270" s="382"/>
    </row>
    <row r="271" spans="2:39" ht="27.75" customHeight="1">
      <c r="B271" s="382"/>
      <c r="C271" s="382"/>
      <c r="D271" s="382"/>
      <c r="E271" s="382"/>
      <c r="F271" s="382"/>
      <c r="G271" s="382"/>
      <c r="H271" s="382"/>
      <c r="I271" s="382"/>
      <c r="J271" s="382"/>
      <c r="K271" s="382"/>
      <c r="L271" s="382"/>
      <c r="M271" s="382"/>
      <c r="N271" s="382"/>
      <c r="O271" s="382"/>
      <c r="P271" s="382"/>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row>
    <row r="272" spans="2:39" ht="27.75" customHeight="1">
      <c r="B272" s="382"/>
      <c r="C272" s="382"/>
      <c r="D272" s="382"/>
      <c r="E272" s="382"/>
      <c r="F272" s="382"/>
      <c r="G272" s="382"/>
      <c r="H272" s="382"/>
      <c r="I272" s="382"/>
      <c r="J272" s="382"/>
      <c r="K272" s="382"/>
      <c r="L272" s="382"/>
      <c r="M272" s="382"/>
      <c r="N272" s="382"/>
      <c r="O272" s="382"/>
      <c r="P272" s="382"/>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row>
    <row r="273" spans="2:39" ht="27.75" customHeight="1">
      <c r="B273" s="382"/>
      <c r="C273" s="382"/>
      <c r="D273" s="382"/>
      <c r="E273" s="382"/>
      <c r="F273" s="382"/>
      <c r="G273" s="382"/>
      <c r="H273" s="382"/>
      <c r="I273" s="382"/>
      <c r="J273" s="382"/>
      <c r="K273" s="382"/>
      <c r="L273" s="382"/>
      <c r="M273" s="382"/>
      <c r="N273" s="382"/>
      <c r="O273" s="382"/>
      <c r="P273" s="382"/>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row>
    <row r="274" spans="2:39" ht="27.75" customHeight="1">
      <c r="B274" s="382"/>
      <c r="C274" s="382"/>
      <c r="D274" s="382"/>
      <c r="E274" s="382"/>
      <c r="F274" s="382"/>
      <c r="G274" s="382"/>
      <c r="H274" s="382"/>
      <c r="I274" s="382"/>
      <c r="J274" s="382"/>
      <c r="K274" s="382"/>
      <c r="L274" s="382"/>
      <c r="M274" s="382"/>
      <c r="N274" s="382"/>
      <c r="O274" s="382"/>
      <c r="P274" s="382"/>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row>
    <row r="275" spans="2:39" ht="27.75" customHeight="1">
      <c r="B275" s="382"/>
      <c r="C275" s="382"/>
      <c r="D275" s="382"/>
      <c r="E275" s="382"/>
      <c r="F275" s="382"/>
      <c r="G275" s="382"/>
      <c r="H275" s="382"/>
      <c r="I275" s="382"/>
      <c r="J275" s="382"/>
      <c r="K275" s="382"/>
      <c r="L275" s="382"/>
      <c r="M275" s="382"/>
      <c r="N275" s="382"/>
      <c r="O275" s="382"/>
      <c r="P275" s="382"/>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row>
    <row r="276" spans="2:39" ht="27.75" customHeight="1">
      <c r="B276" s="382"/>
      <c r="C276" s="382"/>
      <c r="D276" s="382"/>
      <c r="E276" s="382"/>
      <c r="F276" s="382"/>
      <c r="G276" s="382"/>
      <c r="H276" s="382"/>
      <c r="I276" s="382"/>
      <c r="J276" s="382"/>
      <c r="K276" s="382"/>
      <c r="L276" s="382"/>
      <c r="M276" s="382"/>
      <c r="N276" s="382"/>
      <c r="O276" s="382"/>
      <c r="P276" s="382"/>
      <c r="Q276" s="382"/>
      <c r="R276" s="382"/>
      <c r="S276" s="382"/>
      <c r="T276" s="382"/>
      <c r="U276" s="382"/>
      <c r="V276" s="382"/>
      <c r="W276" s="382"/>
      <c r="X276" s="382"/>
      <c r="Y276" s="382"/>
      <c r="Z276" s="382"/>
      <c r="AA276" s="382"/>
      <c r="AB276" s="382"/>
      <c r="AC276" s="382"/>
      <c r="AD276" s="382"/>
      <c r="AE276" s="382"/>
      <c r="AF276" s="382"/>
      <c r="AG276" s="382"/>
      <c r="AH276" s="382"/>
      <c r="AI276" s="382"/>
      <c r="AJ276" s="382"/>
      <c r="AK276" s="382"/>
      <c r="AL276" s="382"/>
      <c r="AM276" s="382"/>
    </row>
    <row r="277" spans="2:39" ht="27.75" customHeight="1">
      <c r="B277" s="382"/>
      <c r="C277" s="382"/>
      <c r="D277" s="382"/>
      <c r="E277" s="382"/>
      <c r="F277" s="382"/>
      <c r="G277" s="382"/>
      <c r="H277" s="382"/>
      <c r="I277" s="382"/>
      <c r="J277" s="382"/>
      <c r="K277" s="382"/>
      <c r="L277" s="382"/>
      <c r="M277" s="382"/>
      <c r="N277" s="382"/>
      <c r="O277" s="382"/>
      <c r="P277" s="382"/>
      <c r="Q277" s="382"/>
      <c r="R277" s="382"/>
      <c r="S277" s="382"/>
      <c r="T277" s="382"/>
      <c r="U277" s="382"/>
      <c r="V277" s="382"/>
      <c r="W277" s="382"/>
      <c r="X277" s="382"/>
      <c r="Y277" s="382"/>
      <c r="Z277" s="382"/>
      <c r="AA277" s="382"/>
      <c r="AB277" s="382"/>
      <c r="AC277" s="382"/>
      <c r="AD277" s="382"/>
      <c r="AE277" s="382"/>
      <c r="AF277" s="382"/>
      <c r="AG277" s="382"/>
      <c r="AH277" s="382"/>
      <c r="AI277" s="382"/>
      <c r="AJ277" s="382"/>
      <c r="AK277" s="382"/>
      <c r="AL277" s="382"/>
      <c r="AM277" s="382"/>
    </row>
    <row r="278" spans="2:39" ht="27.75" customHeight="1">
      <c r="B278" s="382"/>
      <c r="C278" s="382"/>
      <c r="D278" s="382"/>
      <c r="E278" s="382"/>
      <c r="F278" s="382"/>
      <c r="G278" s="382"/>
      <c r="H278" s="382"/>
      <c r="I278" s="382"/>
      <c r="J278" s="382"/>
      <c r="K278" s="382"/>
      <c r="L278" s="382"/>
      <c r="M278" s="382"/>
      <c r="N278" s="382"/>
      <c r="O278" s="382"/>
      <c r="P278" s="382"/>
      <c r="Q278" s="382"/>
      <c r="R278" s="382"/>
      <c r="S278" s="382"/>
      <c r="T278" s="382"/>
      <c r="U278" s="382"/>
      <c r="V278" s="382"/>
      <c r="W278" s="382"/>
      <c r="X278" s="382"/>
      <c r="Y278" s="382"/>
      <c r="Z278" s="382"/>
      <c r="AA278" s="382"/>
      <c r="AB278" s="382"/>
      <c r="AC278" s="382"/>
      <c r="AD278" s="382"/>
      <c r="AE278" s="382"/>
      <c r="AF278" s="382"/>
      <c r="AG278" s="382"/>
      <c r="AH278" s="382"/>
      <c r="AI278" s="382"/>
      <c r="AJ278" s="382"/>
      <c r="AK278" s="382"/>
      <c r="AL278" s="382"/>
      <c r="AM278" s="382"/>
    </row>
    <row r="279" spans="2:39" ht="27.75" customHeight="1">
      <c r="B279" s="382"/>
      <c r="C279" s="382"/>
      <c r="D279" s="382"/>
      <c r="E279" s="382"/>
      <c r="F279" s="382"/>
      <c r="G279" s="382"/>
      <c r="H279" s="382"/>
      <c r="I279" s="382"/>
      <c r="J279" s="382"/>
      <c r="K279" s="382"/>
      <c r="L279" s="382"/>
      <c r="M279" s="382"/>
      <c r="N279" s="382"/>
      <c r="O279" s="382"/>
      <c r="P279" s="382"/>
      <c r="Q279" s="382"/>
      <c r="R279" s="382"/>
      <c r="S279" s="382"/>
      <c r="T279" s="382"/>
      <c r="U279" s="382"/>
      <c r="V279" s="382"/>
      <c r="W279" s="382"/>
      <c r="X279" s="382"/>
      <c r="Y279" s="382"/>
      <c r="Z279" s="382"/>
      <c r="AA279" s="382"/>
      <c r="AB279" s="382"/>
      <c r="AC279" s="382"/>
      <c r="AD279" s="382"/>
      <c r="AE279" s="382"/>
      <c r="AF279" s="382"/>
      <c r="AG279" s="382"/>
      <c r="AH279" s="382"/>
      <c r="AI279" s="382"/>
      <c r="AJ279" s="382"/>
      <c r="AK279" s="382"/>
      <c r="AL279" s="382"/>
      <c r="AM279" s="382"/>
    </row>
    <row r="280" spans="2:39" ht="27.75" customHeight="1">
      <c r="B280" s="382"/>
      <c r="C280" s="382"/>
      <c r="D280" s="382"/>
      <c r="E280" s="382"/>
      <c r="F280" s="382"/>
      <c r="G280" s="382"/>
      <c r="H280" s="382"/>
      <c r="I280" s="382"/>
      <c r="J280" s="382"/>
      <c r="K280" s="382"/>
      <c r="L280" s="382"/>
      <c r="M280" s="382"/>
      <c r="N280" s="382"/>
      <c r="O280" s="382"/>
      <c r="P280" s="382"/>
      <c r="Q280" s="382"/>
      <c r="R280" s="382"/>
      <c r="S280" s="382"/>
      <c r="T280" s="382"/>
      <c r="U280" s="382"/>
      <c r="V280" s="382"/>
      <c r="W280" s="382"/>
      <c r="X280" s="382"/>
      <c r="Y280" s="382"/>
      <c r="Z280" s="382"/>
      <c r="AA280" s="382"/>
      <c r="AB280" s="382"/>
      <c r="AC280" s="382"/>
      <c r="AD280" s="382"/>
      <c r="AE280" s="382"/>
      <c r="AF280" s="382"/>
      <c r="AG280" s="382"/>
      <c r="AH280" s="382"/>
      <c r="AI280" s="382"/>
      <c r="AJ280" s="382"/>
      <c r="AK280" s="382"/>
      <c r="AL280" s="382"/>
      <c r="AM280" s="382"/>
    </row>
    <row r="281" spans="2:39" ht="27.75" customHeight="1">
      <c r="B281" s="382"/>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row>
    <row r="282" spans="2:39" ht="27.75" customHeight="1">
      <c r="B282" s="382"/>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row>
    <row r="283" spans="2:39" ht="27.75" customHeight="1">
      <c r="B283" s="382"/>
      <c r="C283" s="382"/>
      <c r="D283" s="382"/>
      <c r="E283" s="382"/>
      <c r="F283" s="382"/>
      <c r="G283" s="382"/>
      <c r="H283" s="382"/>
      <c r="I283" s="382"/>
      <c r="J283" s="382"/>
      <c r="K283" s="382"/>
      <c r="L283" s="382"/>
      <c r="M283" s="382"/>
      <c r="N283" s="382"/>
      <c r="O283" s="382"/>
      <c r="P283" s="382"/>
      <c r="Q283" s="382"/>
      <c r="R283" s="382"/>
      <c r="S283" s="382"/>
      <c r="T283" s="382"/>
      <c r="U283" s="382"/>
      <c r="V283" s="382"/>
      <c r="W283" s="382"/>
      <c r="X283" s="382"/>
      <c r="Y283" s="382"/>
      <c r="Z283" s="382"/>
      <c r="AA283" s="382"/>
      <c r="AB283" s="382"/>
      <c r="AC283" s="382"/>
      <c r="AD283" s="382"/>
      <c r="AE283" s="382"/>
      <c r="AF283" s="382"/>
      <c r="AG283" s="382"/>
      <c r="AH283" s="382"/>
      <c r="AI283" s="382"/>
      <c r="AJ283" s="382"/>
      <c r="AK283" s="382"/>
      <c r="AL283" s="382"/>
      <c r="AM283" s="382"/>
    </row>
    <row r="284" spans="2:39" ht="27.75" customHeight="1">
      <c r="B284" s="382"/>
      <c r="C284" s="382"/>
      <c r="D284" s="382"/>
      <c r="E284" s="382"/>
      <c r="F284" s="382"/>
      <c r="G284" s="382"/>
      <c r="H284" s="382"/>
      <c r="I284" s="382"/>
      <c r="J284" s="382"/>
      <c r="K284" s="382"/>
      <c r="L284" s="382"/>
      <c r="M284" s="382"/>
      <c r="N284" s="382"/>
      <c r="O284" s="382"/>
      <c r="P284" s="382"/>
      <c r="Q284" s="382"/>
      <c r="R284" s="382"/>
      <c r="S284" s="382"/>
      <c r="T284" s="382"/>
      <c r="U284" s="382"/>
      <c r="V284" s="382"/>
      <c r="W284" s="382"/>
      <c r="X284" s="382"/>
      <c r="Y284" s="382"/>
      <c r="Z284" s="382"/>
      <c r="AA284" s="382"/>
      <c r="AB284" s="382"/>
      <c r="AC284" s="382"/>
      <c r="AD284" s="382"/>
      <c r="AE284" s="382"/>
      <c r="AF284" s="382"/>
      <c r="AG284" s="382"/>
      <c r="AH284" s="382"/>
      <c r="AI284" s="382"/>
      <c r="AJ284" s="382"/>
      <c r="AK284" s="382"/>
      <c r="AL284" s="382"/>
      <c r="AM284" s="382"/>
    </row>
    <row r="285" spans="2:39" ht="27.75" customHeight="1">
      <c r="B285" s="382"/>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row>
    <row r="286" spans="2:39" ht="27.75" customHeight="1">
      <c r="B286" s="382"/>
      <c r="C286" s="382"/>
      <c r="D286" s="382"/>
      <c r="E286" s="382"/>
      <c r="F286" s="382"/>
      <c r="G286" s="382"/>
      <c r="H286" s="382"/>
      <c r="I286" s="382"/>
      <c r="J286" s="382"/>
      <c r="K286" s="382"/>
      <c r="L286" s="382"/>
      <c r="M286" s="382"/>
      <c r="N286" s="382"/>
      <c r="O286" s="382"/>
      <c r="P286" s="382"/>
      <c r="Q286" s="382"/>
      <c r="R286" s="382"/>
      <c r="S286" s="382"/>
      <c r="T286" s="382"/>
      <c r="U286" s="382"/>
      <c r="V286" s="382"/>
      <c r="W286" s="382"/>
      <c r="X286" s="382"/>
      <c r="Y286" s="382"/>
      <c r="Z286" s="382"/>
      <c r="AA286" s="382"/>
      <c r="AB286" s="382"/>
      <c r="AC286" s="382"/>
      <c r="AD286" s="382"/>
      <c r="AE286" s="382"/>
      <c r="AF286" s="382"/>
      <c r="AG286" s="382"/>
      <c r="AH286" s="382"/>
      <c r="AI286" s="382"/>
      <c r="AJ286" s="382"/>
      <c r="AK286" s="382"/>
      <c r="AL286" s="382"/>
      <c r="AM286" s="382"/>
    </row>
    <row r="287" spans="2:39" ht="27.75" customHeight="1">
      <c r="B287" s="382"/>
      <c r="C287" s="382"/>
      <c r="D287" s="382"/>
      <c r="E287" s="382"/>
      <c r="F287" s="382"/>
      <c r="G287" s="382"/>
      <c r="H287" s="382"/>
      <c r="I287" s="382"/>
      <c r="J287" s="382"/>
      <c r="K287" s="382"/>
      <c r="L287" s="382"/>
      <c r="M287" s="382"/>
      <c r="N287" s="382"/>
      <c r="O287" s="382"/>
      <c r="P287" s="382"/>
      <c r="Q287" s="382"/>
      <c r="R287" s="382"/>
      <c r="S287" s="382"/>
      <c r="T287" s="382"/>
      <c r="U287" s="382"/>
      <c r="V287" s="382"/>
      <c r="W287" s="382"/>
      <c r="X287" s="382"/>
      <c r="Y287" s="382"/>
      <c r="Z287" s="382"/>
      <c r="AA287" s="382"/>
      <c r="AB287" s="382"/>
      <c r="AC287" s="382"/>
      <c r="AD287" s="382"/>
      <c r="AE287" s="382"/>
      <c r="AF287" s="382"/>
      <c r="AG287" s="382"/>
      <c r="AH287" s="382"/>
      <c r="AI287" s="382"/>
      <c r="AJ287" s="382"/>
      <c r="AK287" s="382"/>
      <c r="AL287" s="382"/>
      <c r="AM287" s="382"/>
    </row>
    <row r="288" spans="2:39" ht="27.75" customHeight="1">
      <c r="B288" s="382"/>
      <c r="C288" s="382"/>
      <c r="D288" s="382"/>
      <c r="E288" s="382"/>
      <c r="F288" s="382"/>
      <c r="G288" s="382"/>
      <c r="H288" s="382"/>
      <c r="I288" s="382"/>
      <c r="J288" s="382"/>
      <c r="K288" s="382"/>
      <c r="L288" s="382"/>
      <c r="M288" s="382"/>
      <c r="N288" s="382"/>
      <c r="O288" s="382"/>
      <c r="P288" s="382"/>
      <c r="Q288" s="382"/>
      <c r="R288" s="382"/>
      <c r="S288" s="382"/>
      <c r="T288" s="382"/>
      <c r="U288" s="382"/>
      <c r="V288" s="382"/>
      <c r="W288" s="382"/>
      <c r="X288" s="382"/>
      <c r="Y288" s="382"/>
      <c r="Z288" s="382"/>
      <c r="AA288" s="382"/>
      <c r="AB288" s="382"/>
      <c r="AC288" s="382"/>
      <c r="AD288" s="382"/>
      <c r="AE288" s="382"/>
      <c r="AF288" s="382"/>
      <c r="AG288" s="382"/>
      <c r="AH288" s="382"/>
      <c r="AI288" s="382"/>
      <c r="AJ288" s="382"/>
      <c r="AK288" s="382"/>
      <c r="AL288" s="382"/>
      <c r="AM288" s="382"/>
    </row>
    <row r="289" spans="2:39" ht="27.75" customHeight="1">
      <c r="B289" s="382"/>
      <c r="C289" s="382"/>
      <c r="D289" s="382"/>
      <c r="E289" s="382"/>
      <c r="F289" s="382"/>
      <c r="G289" s="382"/>
      <c r="H289" s="382"/>
      <c r="I289" s="382"/>
      <c r="J289" s="382"/>
      <c r="K289" s="382"/>
      <c r="L289" s="382"/>
      <c r="M289" s="382"/>
      <c r="N289" s="382"/>
      <c r="O289" s="382"/>
      <c r="P289" s="382"/>
      <c r="Q289" s="382"/>
      <c r="R289" s="382"/>
      <c r="S289" s="382"/>
      <c r="T289" s="382"/>
      <c r="U289" s="382"/>
      <c r="V289" s="382"/>
      <c r="W289" s="382"/>
      <c r="X289" s="382"/>
      <c r="Y289" s="382"/>
      <c r="Z289" s="382"/>
      <c r="AA289" s="382"/>
      <c r="AB289" s="382"/>
      <c r="AC289" s="382"/>
      <c r="AD289" s="382"/>
      <c r="AE289" s="382"/>
      <c r="AF289" s="382"/>
      <c r="AG289" s="382"/>
      <c r="AH289" s="382"/>
      <c r="AI289" s="382"/>
      <c r="AJ289" s="382"/>
      <c r="AK289" s="382"/>
      <c r="AL289" s="382"/>
      <c r="AM289" s="382"/>
    </row>
    <row r="290" spans="2:39" ht="27.75" customHeight="1">
      <c r="B290" s="382"/>
      <c r="C290" s="382"/>
      <c r="D290" s="382"/>
      <c r="E290" s="382"/>
      <c r="F290" s="382"/>
      <c r="G290" s="382"/>
      <c r="H290" s="382"/>
      <c r="I290" s="382"/>
      <c r="J290" s="382"/>
      <c r="K290" s="382"/>
      <c r="L290" s="382"/>
      <c r="M290" s="382"/>
      <c r="N290" s="382"/>
      <c r="O290" s="382"/>
      <c r="P290" s="382"/>
      <c r="Q290" s="382"/>
      <c r="R290" s="382"/>
      <c r="S290" s="382"/>
      <c r="T290" s="382"/>
      <c r="U290" s="382"/>
      <c r="V290" s="382"/>
      <c r="W290" s="382"/>
      <c r="X290" s="382"/>
      <c r="Y290" s="382"/>
      <c r="Z290" s="382"/>
      <c r="AA290" s="382"/>
      <c r="AB290" s="382"/>
      <c r="AC290" s="382"/>
      <c r="AD290" s="382"/>
      <c r="AE290" s="382"/>
      <c r="AF290" s="382"/>
      <c r="AG290" s="382"/>
      <c r="AH290" s="382"/>
      <c r="AI290" s="382"/>
      <c r="AJ290" s="382"/>
      <c r="AK290" s="382"/>
      <c r="AL290" s="382"/>
      <c r="AM290" s="382"/>
    </row>
    <row r="291" spans="2:39" ht="27.75" customHeight="1">
      <c r="B291" s="382"/>
      <c r="C291" s="382"/>
      <c r="D291" s="382"/>
      <c r="E291" s="382"/>
      <c r="F291" s="382"/>
      <c r="G291" s="382"/>
      <c r="H291" s="382"/>
      <c r="I291" s="382"/>
      <c r="J291" s="382"/>
      <c r="K291" s="382"/>
      <c r="L291" s="382"/>
      <c r="M291" s="382"/>
      <c r="N291" s="382"/>
      <c r="O291" s="382"/>
      <c r="P291" s="382"/>
      <c r="Q291" s="382"/>
      <c r="R291" s="382"/>
      <c r="S291" s="382"/>
      <c r="T291" s="382"/>
      <c r="U291" s="382"/>
      <c r="V291" s="382"/>
      <c r="W291" s="382"/>
      <c r="X291" s="382"/>
      <c r="Y291" s="382"/>
      <c r="Z291" s="382"/>
      <c r="AA291" s="382"/>
      <c r="AB291" s="382"/>
      <c r="AC291" s="382"/>
      <c r="AD291" s="382"/>
      <c r="AE291" s="382"/>
      <c r="AF291" s="382"/>
      <c r="AG291" s="382"/>
      <c r="AH291" s="382"/>
      <c r="AI291" s="382"/>
      <c r="AJ291" s="382"/>
      <c r="AK291" s="382"/>
      <c r="AL291" s="382"/>
      <c r="AM291" s="382"/>
    </row>
    <row r="292" spans="2:39" ht="27.75" customHeight="1">
      <c r="B292" s="382"/>
      <c r="C292" s="382"/>
      <c r="D292" s="382"/>
      <c r="E292" s="382"/>
      <c r="F292" s="382"/>
      <c r="G292" s="382"/>
      <c r="H292" s="382"/>
      <c r="I292" s="382"/>
      <c r="J292" s="382"/>
      <c r="K292" s="382"/>
      <c r="L292" s="382"/>
      <c r="M292" s="382"/>
      <c r="N292" s="382"/>
      <c r="O292" s="382"/>
      <c r="P292" s="382"/>
      <c r="Q292" s="382"/>
      <c r="R292" s="382"/>
      <c r="S292" s="382"/>
      <c r="T292" s="382"/>
      <c r="U292" s="382"/>
      <c r="V292" s="382"/>
      <c r="W292" s="382"/>
      <c r="X292" s="382"/>
      <c r="Y292" s="382"/>
      <c r="Z292" s="382"/>
      <c r="AA292" s="382"/>
      <c r="AB292" s="382"/>
      <c r="AC292" s="382"/>
      <c r="AD292" s="382"/>
      <c r="AE292" s="382"/>
      <c r="AF292" s="382"/>
      <c r="AG292" s="382"/>
      <c r="AH292" s="382"/>
      <c r="AI292" s="382"/>
      <c r="AJ292" s="382"/>
      <c r="AK292" s="382"/>
      <c r="AL292" s="382"/>
      <c r="AM292" s="382"/>
    </row>
    <row r="293" spans="2:39" ht="27.75" customHeight="1">
      <c r="B293" s="382"/>
      <c r="C293" s="382"/>
      <c r="D293" s="382"/>
      <c r="E293" s="382"/>
      <c r="F293" s="382"/>
      <c r="G293" s="382"/>
      <c r="H293" s="382"/>
      <c r="I293" s="382"/>
      <c r="J293" s="382"/>
      <c r="K293" s="382"/>
      <c r="L293" s="382"/>
      <c r="M293" s="382"/>
      <c r="N293" s="382"/>
      <c r="O293" s="382"/>
      <c r="P293" s="382"/>
      <c r="Q293" s="382"/>
      <c r="R293" s="382"/>
      <c r="S293" s="382"/>
      <c r="T293" s="382"/>
      <c r="U293" s="382"/>
      <c r="V293" s="382"/>
      <c r="W293" s="382"/>
      <c r="X293" s="382"/>
      <c r="Y293" s="382"/>
      <c r="Z293" s="382"/>
      <c r="AA293" s="382"/>
      <c r="AB293" s="382"/>
      <c r="AC293" s="382"/>
      <c r="AD293" s="382"/>
      <c r="AE293" s="382"/>
      <c r="AF293" s="382"/>
      <c r="AG293" s="382"/>
      <c r="AH293" s="382"/>
      <c r="AI293" s="382"/>
      <c r="AJ293" s="382"/>
      <c r="AK293" s="382"/>
      <c r="AL293" s="382"/>
      <c r="AM293" s="382"/>
    </row>
    <row r="294" spans="2:39" ht="27.75" customHeight="1">
      <c r="B294" s="382"/>
      <c r="C294" s="382"/>
      <c r="D294" s="382"/>
      <c r="E294" s="382"/>
      <c r="F294" s="382"/>
      <c r="G294" s="382"/>
      <c r="H294" s="382"/>
      <c r="I294" s="382"/>
      <c r="J294" s="382"/>
      <c r="K294" s="382"/>
      <c r="L294" s="382"/>
      <c r="M294" s="382"/>
      <c r="N294" s="382"/>
      <c r="O294" s="382"/>
      <c r="P294" s="382"/>
      <c r="Q294" s="382"/>
      <c r="R294" s="382"/>
      <c r="S294" s="382"/>
      <c r="T294" s="382"/>
      <c r="U294" s="382"/>
      <c r="V294" s="382"/>
      <c r="W294" s="382"/>
      <c r="X294" s="382"/>
      <c r="Y294" s="382"/>
      <c r="Z294" s="382"/>
      <c r="AA294" s="382"/>
      <c r="AB294" s="382"/>
      <c r="AC294" s="382"/>
      <c r="AD294" s="382"/>
      <c r="AE294" s="382"/>
      <c r="AF294" s="382"/>
      <c r="AG294" s="382"/>
      <c r="AH294" s="382"/>
      <c r="AI294" s="382"/>
      <c r="AJ294" s="382"/>
      <c r="AK294" s="382"/>
      <c r="AL294" s="382"/>
      <c r="AM294" s="382"/>
    </row>
    <row r="295" spans="2:39" ht="27.75" customHeight="1">
      <c r="B295" s="382"/>
      <c r="C295" s="382"/>
      <c r="D295" s="382"/>
      <c r="E295" s="382"/>
      <c r="F295" s="382"/>
      <c r="G295" s="382"/>
      <c r="H295" s="382"/>
      <c r="I295" s="382"/>
      <c r="J295" s="382"/>
      <c r="K295" s="382"/>
      <c r="L295" s="382"/>
      <c r="M295" s="382"/>
      <c r="N295" s="382"/>
      <c r="O295" s="382"/>
      <c r="P295" s="382"/>
      <c r="Q295" s="382"/>
      <c r="R295" s="382"/>
      <c r="S295" s="382"/>
      <c r="T295" s="382"/>
      <c r="U295" s="382"/>
      <c r="V295" s="382"/>
      <c r="W295" s="382"/>
      <c r="X295" s="382"/>
      <c r="Y295" s="382"/>
      <c r="Z295" s="382"/>
      <c r="AA295" s="382"/>
      <c r="AB295" s="382"/>
      <c r="AC295" s="382"/>
      <c r="AD295" s="382"/>
      <c r="AE295" s="382"/>
      <c r="AF295" s="382"/>
      <c r="AG295" s="382"/>
      <c r="AH295" s="382"/>
      <c r="AI295" s="382"/>
      <c r="AJ295" s="382"/>
      <c r="AK295" s="382"/>
      <c r="AL295" s="382"/>
      <c r="AM295" s="382"/>
    </row>
    <row r="296" spans="2:39" ht="27.75" customHeight="1">
      <c r="B296" s="382"/>
      <c r="C296" s="382"/>
      <c r="D296" s="382"/>
      <c r="E296" s="382"/>
      <c r="F296" s="382"/>
      <c r="G296" s="382"/>
      <c r="H296" s="382"/>
      <c r="I296" s="382"/>
      <c r="J296" s="382"/>
      <c r="K296" s="382"/>
      <c r="L296" s="382"/>
      <c r="M296" s="382"/>
      <c r="N296" s="382"/>
      <c r="O296" s="382"/>
      <c r="P296" s="382"/>
      <c r="Q296" s="382"/>
      <c r="R296" s="382"/>
      <c r="S296" s="382"/>
      <c r="T296" s="382"/>
      <c r="U296" s="382"/>
      <c r="V296" s="382"/>
      <c r="W296" s="382"/>
      <c r="X296" s="382"/>
      <c r="Y296" s="382"/>
      <c r="Z296" s="382"/>
      <c r="AA296" s="382"/>
      <c r="AB296" s="382"/>
      <c r="AC296" s="382"/>
      <c r="AD296" s="382"/>
      <c r="AE296" s="382"/>
      <c r="AF296" s="382"/>
      <c r="AG296" s="382"/>
      <c r="AH296" s="382"/>
      <c r="AI296" s="382"/>
      <c r="AJ296" s="382"/>
      <c r="AK296" s="382"/>
      <c r="AL296" s="382"/>
      <c r="AM296" s="382"/>
    </row>
    <row r="297" spans="2:39" ht="27.75" customHeight="1">
      <c r="B297" s="382"/>
      <c r="C297" s="382"/>
      <c r="D297" s="382"/>
      <c r="E297" s="382"/>
      <c r="F297" s="382"/>
      <c r="G297" s="382"/>
      <c r="H297" s="382"/>
      <c r="I297" s="382"/>
      <c r="J297" s="382"/>
      <c r="K297" s="382"/>
      <c r="L297" s="382"/>
      <c r="M297" s="382"/>
      <c r="N297" s="382"/>
      <c r="O297" s="382"/>
      <c r="P297" s="382"/>
      <c r="Q297" s="382"/>
      <c r="R297" s="382"/>
      <c r="S297" s="382"/>
      <c r="T297" s="382"/>
      <c r="U297" s="382"/>
      <c r="V297" s="382"/>
      <c r="W297" s="382"/>
      <c r="X297" s="382"/>
      <c r="Y297" s="382"/>
      <c r="Z297" s="382"/>
      <c r="AA297" s="382"/>
      <c r="AB297" s="382"/>
      <c r="AC297" s="382"/>
      <c r="AD297" s="382"/>
      <c r="AE297" s="382"/>
      <c r="AF297" s="382"/>
      <c r="AG297" s="382"/>
      <c r="AH297" s="382"/>
      <c r="AI297" s="382"/>
      <c r="AJ297" s="382"/>
      <c r="AK297" s="382"/>
      <c r="AL297" s="382"/>
      <c r="AM297" s="382"/>
    </row>
    <row r="298" spans="2:39" ht="27.75" customHeight="1">
      <c r="B298" s="382"/>
      <c r="C298" s="382"/>
      <c r="D298" s="382"/>
      <c r="E298" s="382"/>
      <c r="F298" s="382"/>
      <c r="G298" s="382"/>
      <c r="H298" s="382"/>
      <c r="I298" s="382"/>
      <c r="J298" s="382"/>
      <c r="K298" s="382"/>
      <c r="L298" s="382"/>
      <c r="M298" s="382"/>
      <c r="N298" s="382"/>
      <c r="O298" s="382"/>
      <c r="P298" s="382"/>
      <c r="Q298" s="382"/>
      <c r="R298" s="382"/>
      <c r="S298" s="382"/>
      <c r="T298" s="382"/>
      <c r="U298" s="382"/>
      <c r="V298" s="382"/>
      <c r="W298" s="382"/>
      <c r="X298" s="382"/>
      <c r="Y298" s="382"/>
      <c r="Z298" s="382"/>
      <c r="AA298" s="382"/>
      <c r="AB298" s="382"/>
      <c r="AC298" s="382"/>
      <c r="AD298" s="382"/>
      <c r="AE298" s="382"/>
      <c r="AF298" s="382"/>
      <c r="AG298" s="382"/>
      <c r="AH298" s="382"/>
      <c r="AI298" s="382"/>
      <c r="AJ298" s="382"/>
      <c r="AK298" s="382"/>
      <c r="AL298" s="382"/>
      <c r="AM298" s="382"/>
    </row>
    <row r="299" spans="2:39" ht="27.75" customHeight="1">
      <c r="B299" s="382"/>
      <c r="C299" s="382"/>
      <c r="D299" s="382"/>
      <c r="E299" s="382"/>
      <c r="F299" s="382"/>
      <c r="G299" s="382"/>
      <c r="H299" s="382"/>
      <c r="I299" s="382"/>
      <c r="J299" s="382"/>
      <c r="K299" s="382"/>
      <c r="L299" s="382"/>
      <c r="M299" s="382"/>
      <c r="N299" s="382"/>
      <c r="O299" s="382"/>
      <c r="P299" s="382"/>
      <c r="Q299" s="382"/>
      <c r="R299" s="382"/>
      <c r="S299" s="382"/>
      <c r="T299" s="382"/>
      <c r="U299" s="382"/>
      <c r="V299" s="382"/>
      <c r="W299" s="382"/>
      <c r="X299" s="382"/>
      <c r="Y299" s="382"/>
      <c r="Z299" s="382"/>
      <c r="AA299" s="382"/>
      <c r="AB299" s="382"/>
      <c r="AC299" s="382"/>
      <c r="AD299" s="382"/>
      <c r="AE299" s="382"/>
      <c r="AF299" s="382"/>
      <c r="AG299" s="382"/>
      <c r="AH299" s="382"/>
      <c r="AI299" s="382"/>
      <c r="AJ299" s="382"/>
      <c r="AK299" s="382"/>
      <c r="AL299" s="382"/>
      <c r="AM299" s="382"/>
    </row>
    <row r="300" spans="2:39" ht="27.75" customHeight="1">
      <c r="B300" s="382"/>
      <c r="C300" s="382"/>
      <c r="D300" s="382"/>
      <c r="E300" s="382"/>
      <c r="F300" s="382"/>
      <c r="G300" s="382"/>
      <c r="H300" s="382"/>
      <c r="I300" s="382"/>
      <c r="J300" s="382"/>
      <c r="K300" s="382"/>
      <c r="L300" s="382"/>
      <c r="M300" s="382"/>
      <c r="N300" s="382"/>
      <c r="O300" s="382"/>
      <c r="P300" s="382"/>
      <c r="Q300" s="382"/>
      <c r="R300" s="382"/>
      <c r="S300" s="382"/>
      <c r="T300" s="382"/>
      <c r="U300" s="382"/>
      <c r="V300" s="382"/>
      <c r="W300" s="382"/>
      <c r="X300" s="382"/>
      <c r="Y300" s="382"/>
      <c r="Z300" s="382"/>
      <c r="AA300" s="382"/>
      <c r="AB300" s="382"/>
      <c r="AC300" s="382"/>
      <c r="AD300" s="382"/>
      <c r="AE300" s="382"/>
      <c r="AF300" s="382"/>
      <c r="AG300" s="382"/>
      <c r="AH300" s="382"/>
      <c r="AI300" s="382"/>
      <c r="AJ300" s="382"/>
      <c r="AK300" s="382"/>
      <c r="AL300" s="382"/>
      <c r="AM300" s="382"/>
    </row>
    <row r="301" spans="2:39" ht="27.75" customHeight="1">
      <c r="B301" s="382"/>
      <c r="C301" s="382"/>
      <c r="D301" s="382"/>
      <c r="E301" s="382"/>
      <c r="F301" s="382"/>
      <c r="G301" s="382"/>
      <c r="H301" s="382"/>
      <c r="I301" s="382"/>
      <c r="J301" s="382"/>
      <c r="K301" s="382"/>
      <c r="L301" s="382"/>
      <c r="M301" s="382"/>
      <c r="N301" s="382"/>
      <c r="O301" s="382"/>
      <c r="P301" s="382"/>
      <c r="Q301" s="382"/>
      <c r="R301" s="382"/>
      <c r="S301" s="382"/>
      <c r="T301" s="382"/>
      <c r="U301" s="382"/>
      <c r="V301" s="382"/>
      <c r="W301" s="382"/>
      <c r="X301" s="382"/>
      <c r="Y301" s="382"/>
      <c r="Z301" s="382"/>
      <c r="AA301" s="382"/>
      <c r="AB301" s="382"/>
      <c r="AC301" s="382"/>
      <c r="AD301" s="382"/>
      <c r="AE301" s="382"/>
      <c r="AF301" s="382"/>
      <c r="AG301" s="382"/>
      <c r="AH301" s="382"/>
      <c r="AI301" s="382"/>
      <c r="AJ301" s="382"/>
      <c r="AK301" s="382"/>
      <c r="AL301" s="382"/>
      <c r="AM301" s="382"/>
    </row>
    <row r="302" spans="2:39" ht="27.75" customHeight="1">
      <c r="B302" s="382"/>
      <c r="C302" s="382"/>
      <c r="D302" s="382"/>
      <c r="E302" s="382"/>
      <c r="F302" s="382"/>
      <c r="G302" s="382"/>
      <c r="H302" s="382"/>
      <c r="I302" s="382"/>
      <c r="J302" s="382"/>
      <c r="K302" s="382"/>
      <c r="L302" s="382"/>
      <c r="M302" s="382"/>
      <c r="N302" s="382"/>
      <c r="O302" s="382"/>
      <c r="P302" s="382"/>
      <c r="Q302" s="382"/>
      <c r="R302" s="382"/>
      <c r="S302" s="382"/>
      <c r="T302" s="382"/>
      <c r="U302" s="382"/>
      <c r="V302" s="382"/>
      <c r="W302" s="382"/>
      <c r="X302" s="382"/>
      <c r="Y302" s="382"/>
      <c r="Z302" s="382"/>
      <c r="AA302" s="382"/>
      <c r="AB302" s="382"/>
      <c r="AC302" s="382"/>
      <c r="AD302" s="382"/>
      <c r="AE302" s="382"/>
      <c r="AF302" s="382"/>
      <c r="AG302" s="382"/>
      <c r="AH302" s="382"/>
      <c r="AI302" s="382"/>
      <c r="AJ302" s="382"/>
      <c r="AK302" s="382"/>
      <c r="AL302" s="382"/>
      <c r="AM302" s="382"/>
    </row>
    <row r="303" spans="2:39" ht="27.75" customHeight="1">
      <c r="B303" s="382"/>
      <c r="C303" s="382"/>
      <c r="D303" s="382"/>
      <c r="E303" s="382"/>
      <c r="F303" s="382"/>
      <c r="G303" s="382"/>
      <c r="H303" s="382"/>
      <c r="I303" s="382"/>
      <c r="J303" s="382"/>
      <c r="K303" s="382"/>
      <c r="L303" s="382"/>
      <c r="M303" s="382"/>
      <c r="N303" s="382"/>
      <c r="O303" s="382"/>
      <c r="P303" s="382"/>
      <c r="Q303" s="382"/>
      <c r="R303" s="382"/>
      <c r="S303" s="382"/>
      <c r="T303" s="382"/>
      <c r="U303" s="382"/>
      <c r="V303" s="382"/>
      <c r="W303" s="382"/>
      <c r="X303" s="382"/>
      <c r="Y303" s="382"/>
      <c r="Z303" s="382"/>
      <c r="AA303" s="382"/>
      <c r="AB303" s="382"/>
      <c r="AC303" s="382"/>
      <c r="AD303" s="382"/>
      <c r="AE303" s="382"/>
      <c r="AF303" s="382"/>
      <c r="AG303" s="382"/>
      <c r="AH303" s="382"/>
      <c r="AI303" s="382"/>
      <c r="AJ303" s="382"/>
      <c r="AK303" s="382"/>
      <c r="AL303" s="382"/>
      <c r="AM303" s="382"/>
    </row>
    <row r="304" spans="2:39" ht="27.75" customHeight="1">
      <c r="B304" s="382"/>
      <c r="C304" s="382"/>
      <c r="D304" s="382"/>
      <c r="E304" s="382"/>
      <c r="F304" s="382"/>
      <c r="G304" s="382"/>
      <c r="H304" s="382"/>
      <c r="I304" s="382"/>
      <c r="J304" s="382"/>
      <c r="K304" s="382"/>
      <c r="L304" s="382"/>
      <c r="M304" s="382"/>
      <c r="N304" s="382"/>
      <c r="O304" s="382"/>
      <c r="P304" s="382"/>
      <c r="Q304" s="382"/>
      <c r="R304" s="382"/>
      <c r="S304" s="382"/>
      <c r="T304" s="382"/>
      <c r="U304" s="382"/>
      <c r="V304" s="382"/>
      <c r="W304" s="382"/>
      <c r="X304" s="382"/>
      <c r="Y304" s="382"/>
      <c r="Z304" s="382"/>
      <c r="AA304" s="382"/>
      <c r="AB304" s="382"/>
      <c r="AC304" s="382"/>
      <c r="AD304" s="382"/>
      <c r="AE304" s="382"/>
      <c r="AF304" s="382"/>
      <c r="AG304" s="382"/>
      <c r="AH304" s="382"/>
      <c r="AI304" s="382"/>
      <c r="AJ304" s="382"/>
      <c r="AK304" s="382"/>
      <c r="AL304" s="382"/>
      <c r="AM304" s="382"/>
    </row>
    <row r="305" spans="2:39" ht="27.75" customHeight="1">
      <c r="B305" s="382"/>
      <c r="C305" s="382"/>
      <c r="D305" s="382"/>
      <c r="E305" s="382"/>
      <c r="F305" s="382"/>
      <c r="G305" s="382"/>
      <c r="H305" s="382"/>
      <c r="I305" s="382"/>
      <c r="J305" s="382"/>
      <c r="K305" s="382"/>
      <c r="L305" s="382"/>
      <c r="M305" s="382"/>
      <c r="N305" s="382"/>
      <c r="O305" s="382"/>
      <c r="P305" s="382"/>
      <c r="Q305" s="382"/>
      <c r="R305" s="382"/>
      <c r="S305" s="382"/>
      <c r="T305" s="382"/>
      <c r="U305" s="382"/>
      <c r="V305" s="382"/>
      <c r="W305" s="382"/>
      <c r="X305" s="382"/>
      <c r="Y305" s="382"/>
      <c r="Z305" s="382"/>
      <c r="AA305" s="382"/>
      <c r="AB305" s="382"/>
      <c r="AC305" s="382"/>
      <c r="AD305" s="382"/>
      <c r="AE305" s="382"/>
      <c r="AF305" s="382"/>
      <c r="AG305" s="382"/>
      <c r="AH305" s="382"/>
      <c r="AI305" s="382"/>
      <c r="AJ305" s="382"/>
      <c r="AK305" s="382"/>
      <c r="AL305" s="382"/>
      <c r="AM305" s="382"/>
    </row>
    <row r="306" spans="2:39" ht="27.75" customHeight="1">
      <c r="B306" s="382"/>
      <c r="C306" s="382"/>
      <c r="D306" s="382"/>
      <c r="E306" s="382"/>
      <c r="F306" s="382"/>
      <c r="G306" s="382"/>
      <c r="H306" s="382"/>
      <c r="I306" s="382"/>
      <c r="J306" s="382"/>
      <c r="K306" s="382"/>
      <c r="L306" s="382"/>
      <c r="M306" s="382"/>
      <c r="N306" s="382"/>
      <c r="O306" s="382"/>
      <c r="P306" s="382"/>
      <c r="Q306" s="382"/>
      <c r="R306" s="382"/>
      <c r="S306" s="382"/>
      <c r="T306" s="382"/>
      <c r="U306" s="382"/>
      <c r="V306" s="382"/>
      <c r="W306" s="382"/>
      <c r="X306" s="382"/>
      <c r="Y306" s="382"/>
      <c r="Z306" s="382"/>
      <c r="AA306" s="382"/>
      <c r="AB306" s="382"/>
      <c r="AC306" s="382"/>
      <c r="AD306" s="382"/>
      <c r="AE306" s="382"/>
      <c r="AF306" s="382"/>
      <c r="AG306" s="382"/>
      <c r="AH306" s="382"/>
      <c r="AI306" s="382"/>
      <c r="AJ306" s="382"/>
      <c r="AK306" s="382"/>
      <c r="AL306" s="382"/>
      <c r="AM306" s="382"/>
    </row>
    <row r="307" spans="2:39" ht="27.75" customHeight="1">
      <c r="B307" s="382"/>
      <c r="C307" s="382"/>
      <c r="D307" s="382"/>
      <c r="E307" s="382"/>
      <c r="F307" s="382"/>
      <c r="G307" s="382"/>
      <c r="H307" s="382"/>
      <c r="I307" s="382"/>
      <c r="J307" s="382"/>
      <c r="K307" s="382"/>
      <c r="L307" s="382"/>
      <c r="M307" s="382"/>
      <c r="N307" s="382"/>
      <c r="O307" s="382"/>
      <c r="P307" s="382"/>
      <c r="Q307" s="382"/>
      <c r="R307" s="382"/>
      <c r="S307" s="382"/>
      <c r="T307" s="382"/>
      <c r="U307" s="382"/>
      <c r="V307" s="382"/>
      <c r="W307" s="382"/>
      <c r="X307" s="382"/>
      <c r="Y307" s="382"/>
      <c r="Z307" s="382"/>
      <c r="AA307" s="382"/>
      <c r="AB307" s="382"/>
      <c r="AC307" s="382"/>
      <c r="AD307" s="382"/>
      <c r="AE307" s="382"/>
      <c r="AF307" s="382"/>
      <c r="AG307" s="382"/>
      <c r="AH307" s="382"/>
      <c r="AI307" s="382"/>
      <c r="AJ307" s="382"/>
      <c r="AK307" s="382"/>
      <c r="AL307" s="382"/>
      <c r="AM307" s="382"/>
    </row>
    <row r="308" spans="2:39" ht="27.75" customHeight="1">
      <c r="B308" s="382"/>
      <c r="C308" s="382"/>
      <c r="D308" s="382"/>
      <c r="E308" s="382"/>
      <c r="F308" s="382"/>
      <c r="G308" s="382"/>
      <c r="H308" s="382"/>
      <c r="I308" s="382"/>
      <c r="J308" s="382"/>
      <c r="K308" s="382"/>
      <c r="L308" s="382"/>
      <c r="M308" s="382"/>
      <c r="N308" s="382"/>
      <c r="O308" s="382"/>
      <c r="P308" s="382"/>
      <c r="Q308" s="382"/>
      <c r="R308" s="382"/>
      <c r="S308" s="382"/>
      <c r="T308" s="382"/>
      <c r="U308" s="382"/>
      <c r="V308" s="382"/>
      <c r="W308" s="382"/>
      <c r="X308" s="382"/>
      <c r="Y308" s="382"/>
      <c r="Z308" s="382"/>
      <c r="AA308" s="382"/>
      <c r="AB308" s="382"/>
      <c r="AC308" s="382"/>
      <c r="AD308" s="382"/>
      <c r="AE308" s="382"/>
      <c r="AF308" s="382"/>
      <c r="AG308" s="382"/>
      <c r="AH308" s="382"/>
      <c r="AI308" s="382"/>
      <c r="AJ308" s="382"/>
      <c r="AK308" s="382"/>
      <c r="AL308" s="382"/>
      <c r="AM308" s="382"/>
    </row>
    <row r="309" spans="2:39" ht="27.75" customHeight="1">
      <c r="B309" s="382"/>
      <c r="C309" s="382"/>
      <c r="D309" s="382"/>
      <c r="E309" s="382"/>
      <c r="F309" s="382"/>
      <c r="G309" s="382"/>
      <c r="H309" s="382"/>
      <c r="I309" s="382"/>
      <c r="J309" s="382"/>
      <c r="K309" s="382"/>
      <c r="L309" s="382"/>
      <c r="M309" s="382"/>
      <c r="N309" s="382"/>
      <c r="O309" s="382"/>
      <c r="P309" s="382"/>
      <c r="Q309" s="382"/>
      <c r="R309" s="382"/>
      <c r="S309" s="382"/>
      <c r="T309" s="382"/>
      <c r="U309" s="382"/>
      <c r="V309" s="382"/>
      <c r="W309" s="382"/>
      <c r="X309" s="382"/>
      <c r="Y309" s="382"/>
      <c r="Z309" s="382"/>
      <c r="AA309" s="382"/>
      <c r="AB309" s="382"/>
      <c r="AC309" s="382"/>
      <c r="AD309" s="382"/>
      <c r="AE309" s="382"/>
      <c r="AF309" s="382"/>
      <c r="AG309" s="382"/>
      <c r="AH309" s="382"/>
      <c r="AI309" s="382"/>
      <c r="AJ309" s="382"/>
      <c r="AK309" s="382"/>
      <c r="AL309" s="382"/>
      <c r="AM309" s="382"/>
    </row>
    <row r="310" spans="2:39" ht="27.75" customHeight="1">
      <c r="B310" s="382"/>
      <c r="C310" s="382"/>
      <c r="D310" s="382"/>
      <c r="E310" s="382"/>
      <c r="F310" s="382"/>
      <c r="G310" s="382"/>
      <c r="H310" s="382"/>
      <c r="I310" s="382"/>
      <c r="J310" s="382"/>
      <c r="K310" s="382"/>
      <c r="L310" s="382"/>
      <c r="M310" s="382"/>
      <c r="N310" s="382"/>
      <c r="O310" s="382"/>
      <c r="P310" s="382"/>
      <c r="Q310" s="382"/>
      <c r="R310" s="382"/>
      <c r="S310" s="382"/>
      <c r="T310" s="382"/>
      <c r="U310" s="382"/>
      <c r="V310" s="382"/>
      <c r="W310" s="382"/>
      <c r="X310" s="382"/>
      <c r="Y310" s="382"/>
      <c r="Z310" s="382"/>
      <c r="AA310" s="382"/>
      <c r="AB310" s="382"/>
      <c r="AC310" s="382"/>
      <c r="AD310" s="382"/>
      <c r="AE310" s="382"/>
      <c r="AF310" s="382"/>
      <c r="AG310" s="382"/>
      <c r="AH310" s="382"/>
      <c r="AI310" s="382"/>
      <c r="AJ310" s="382"/>
      <c r="AK310" s="382"/>
      <c r="AL310" s="382"/>
      <c r="AM310" s="382"/>
    </row>
    <row r="311" spans="2:39" ht="27.75" customHeight="1">
      <c r="B311" s="382"/>
      <c r="C311" s="382"/>
      <c r="D311" s="382"/>
      <c r="E311" s="382"/>
      <c r="F311" s="382"/>
      <c r="G311" s="382"/>
      <c r="H311" s="382"/>
      <c r="I311" s="382"/>
      <c r="J311" s="382"/>
      <c r="K311" s="382"/>
      <c r="L311" s="382"/>
      <c r="M311" s="382"/>
      <c r="N311" s="382"/>
      <c r="O311" s="382"/>
      <c r="P311" s="382"/>
      <c r="Q311" s="382"/>
      <c r="R311" s="382"/>
      <c r="S311" s="382"/>
      <c r="T311" s="382"/>
      <c r="U311" s="382"/>
      <c r="V311" s="382"/>
      <c r="W311" s="382"/>
      <c r="X311" s="382"/>
      <c r="Y311" s="382"/>
      <c r="Z311" s="382"/>
      <c r="AA311" s="382"/>
      <c r="AB311" s="382"/>
      <c r="AC311" s="382"/>
      <c r="AD311" s="382"/>
      <c r="AE311" s="382"/>
      <c r="AF311" s="382"/>
      <c r="AG311" s="382"/>
      <c r="AH311" s="382"/>
      <c r="AI311" s="382"/>
      <c r="AJ311" s="382"/>
      <c r="AK311" s="382"/>
      <c r="AL311" s="382"/>
      <c r="AM311" s="382"/>
    </row>
    <row r="312" spans="2:39" ht="27.75" customHeight="1">
      <c r="B312" s="382"/>
      <c r="C312" s="382"/>
      <c r="D312" s="382"/>
      <c r="E312" s="382"/>
      <c r="F312" s="382"/>
      <c r="G312" s="382"/>
      <c r="H312" s="382"/>
      <c r="I312" s="382"/>
      <c r="J312" s="382"/>
      <c r="K312" s="382"/>
      <c r="L312" s="382"/>
      <c r="M312" s="382"/>
      <c r="N312" s="382"/>
      <c r="O312" s="382"/>
      <c r="P312" s="382"/>
      <c r="Q312" s="382"/>
      <c r="R312" s="382"/>
      <c r="S312" s="382"/>
      <c r="T312" s="382"/>
      <c r="U312" s="382"/>
      <c r="V312" s="382"/>
      <c r="W312" s="382"/>
      <c r="X312" s="382"/>
      <c r="Y312" s="382"/>
      <c r="Z312" s="382"/>
      <c r="AA312" s="382"/>
      <c r="AB312" s="382"/>
      <c r="AC312" s="382"/>
      <c r="AD312" s="382"/>
      <c r="AE312" s="382"/>
      <c r="AF312" s="382"/>
      <c r="AG312" s="382"/>
      <c r="AH312" s="382"/>
      <c r="AI312" s="382"/>
      <c r="AJ312" s="382"/>
      <c r="AK312" s="382"/>
      <c r="AL312" s="382"/>
      <c r="AM312" s="382"/>
    </row>
    <row r="313" spans="2:39" ht="27.75" customHeight="1">
      <c r="B313" s="382"/>
      <c r="C313" s="382"/>
      <c r="D313" s="382"/>
      <c r="E313" s="382"/>
      <c r="F313" s="382"/>
      <c r="G313" s="382"/>
      <c r="H313" s="382"/>
      <c r="I313" s="382"/>
      <c r="J313" s="382"/>
      <c r="K313" s="382"/>
      <c r="L313" s="382"/>
      <c r="M313" s="382"/>
      <c r="N313" s="382"/>
      <c r="O313" s="382"/>
      <c r="P313" s="382"/>
      <c r="Q313" s="382"/>
      <c r="R313" s="382"/>
      <c r="S313" s="382"/>
      <c r="T313" s="382"/>
      <c r="U313" s="382"/>
      <c r="V313" s="382"/>
      <c r="W313" s="382"/>
      <c r="X313" s="382"/>
      <c r="Y313" s="382"/>
      <c r="Z313" s="382"/>
      <c r="AA313" s="382"/>
      <c r="AB313" s="382"/>
      <c r="AC313" s="382"/>
      <c r="AD313" s="382"/>
      <c r="AE313" s="382"/>
      <c r="AF313" s="382"/>
      <c r="AG313" s="382"/>
      <c r="AH313" s="382"/>
      <c r="AI313" s="382"/>
      <c r="AJ313" s="382"/>
      <c r="AK313" s="382"/>
      <c r="AL313" s="382"/>
      <c r="AM313" s="382"/>
    </row>
    <row r="314" spans="2:39" ht="27.75" customHeight="1">
      <c r="B314" s="382"/>
      <c r="C314" s="382"/>
      <c r="D314" s="382"/>
      <c r="E314" s="382"/>
      <c r="F314" s="382"/>
      <c r="G314" s="382"/>
      <c r="H314" s="382"/>
      <c r="I314" s="382"/>
      <c r="J314" s="382"/>
      <c r="K314" s="382"/>
      <c r="L314" s="382"/>
      <c r="M314" s="382"/>
      <c r="N314" s="382"/>
      <c r="O314" s="382"/>
      <c r="P314" s="382"/>
      <c r="Q314" s="382"/>
      <c r="R314" s="382"/>
      <c r="S314" s="382"/>
      <c r="T314" s="382"/>
      <c r="U314" s="382"/>
      <c r="V314" s="382"/>
      <c r="W314" s="382"/>
      <c r="X314" s="382"/>
      <c r="Y314" s="382"/>
      <c r="Z314" s="382"/>
      <c r="AA314" s="382"/>
      <c r="AB314" s="382"/>
      <c r="AC314" s="382"/>
      <c r="AD314" s="382"/>
      <c r="AE314" s="382"/>
      <c r="AF314" s="382"/>
      <c r="AG314" s="382"/>
      <c r="AH314" s="382"/>
      <c r="AI314" s="382"/>
      <c r="AJ314" s="382"/>
      <c r="AK314" s="382"/>
      <c r="AL314" s="382"/>
      <c r="AM314" s="382"/>
    </row>
    <row r="315" spans="2:39" ht="27.75" customHeight="1">
      <c r="B315" s="382"/>
      <c r="C315" s="382"/>
      <c r="D315" s="382"/>
      <c r="E315" s="382"/>
      <c r="F315" s="382"/>
      <c r="G315" s="382"/>
      <c r="H315" s="382"/>
      <c r="I315" s="382"/>
      <c r="J315" s="382"/>
      <c r="K315" s="382"/>
      <c r="L315" s="382"/>
      <c r="M315" s="382"/>
      <c r="N315" s="382"/>
      <c r="O315" s="382"/>
      <c r="P315" s="382"/>
      <c r="Q315" s="382"/>
      <c r="R315" s="382"/>
      <c r="S315" s="382"/>
      <c r="T315" s="382"/>
      <c r="U315" s="382"/>
      <c r="V315" s="382"/>
      <c r="W315" s="382"/>
      <c r="X315" s="382"/>
      <c r="Y315" s="382"/>
      <c r="Z315" s="382"/>
      <c r="AA315" s="382"/>
      <c r="AB315" s="382"/>
      <c r="AC315" s="382"/>
      <c r="AD315" s="382"/>
      <c r="AE315" s="382"/>
      <c r="AF315" s="382"/>
      <c r="AG315" s="382"/>
      <c r="AH315" s="382"/>
      <c r="AI315" s="382"/>
      <c r="AJ315" s="382"/>
      <c r="AK315" s="382"/>
      <c r="AL315" s="382"/>
      <c r="AM315" s="382"/>
    </row>
    <row r="316" spans="2:39" ht="27.75" customHeight="1">
      <c r="B316" s="382"/>
      <c r="C316" s="382"/>
      <c r="D316" s="382"/>
      <c r="E316" s="382"/>
      <c r="F316" s="382"/>
      <c r="G316" s="382"/>
      <c r="H316" s="382"/>
      <c r="I316" s="382"/>
      <c r="J316" s="382"/>
      <c r="K316" s="382"/>
      <c r="L316" s="382"/>
      <c r="M316" s="382"/>
      <c r="N316" s="382"/>
      <c r="O316" s="382"/>
      <c r="P316" s="382"/>
      <c r="Q316" s="382"/>
      <c r="R316" s="382"/>
      <c r="S316" s="382"/>
      <c r="T316" s="382"/>
      <c r="U316" s="382"/>
      <c r="V316" s="382"/>
      <c r="W316" s="382"/>
      <c r="X316" s="382"/>
      <c r="Y316" s="382"/>
      <c r="Z316" s="382"/>
      <c r="AA316" s="382"/>
      <c r="AB316" s="382"/>
      <c r="AC316" s="382"/>
      <c r="AD316" s="382"/>
      <c r="AE316" s="382"/>
      <c r="AF316" s="382"/>
      <c r="AG316" s="382"/>
      <c r="AH316" s="382"/>
      <c r="AI316" s="382"/>
      <c r="AJ316" s="382"/>
      <c r="AK316" s="382"/>
      <c r="AL316" s="382"/>
      <c r="AM316" s="382"/>
    </row>
    <row r="317" spans="2:39" ht="27.75" customHeight="1">
      <c r="B317" s="382"/>
      <c r="C317" s="382"/>
      <c r="D317" s="382"/>
      <c r="E317" s="382"/>
      <c r="F317" s="382"/>
      <c r="G317" s="382"/>
      <c r="H317" s="382"/>
      <c r="I317" s="382"/>
      <c r="J317" s="382"/>
      <c r="K317" s="382"/>
      <c r="L317" s="382"/>
      <c r="M317" s="382"/>
      <c r="N317" s="382"/>
      <c r="O317" s="382"/>
      <c r="P317" s="382"/>
      <c r="Q317" s="382"/>
      <c r="R317" s="382"/>
      <c r="S317" s="382"/>
      <c r="T317" s="382"/>
      <c r="U317" s="382"/>
      <c r="V317" s="382"/>
      <c r="W317" s="382"/>
      <c r="X317" s="382"/>
      <c r="Y317" s="382"/>
      <c r="Z317" s="382"/>
      <c r="AA317" s="382"/>
      <c r="AB317" s="382"/>
      <c r="AC317" s="382"/>
      <c r="AD317" s="382"/>
      <c r="AE317" s="382"/>
      <c r="AF317" s="382"/>
      <c r="AG317" s="382"/>
      <c r="AH317" s="382"/>
      <c r="AI317" s="382"/>
      <c r="AJ317" s="382"/>
      <c r="AK317" s="382"/>
      <c r="AL317" s="382"/>
      <c r="AM317" s="382"/>
    </row>
    <row r="318" spans="2:39" ht="27.75" customHeight="1">
      <c r="B318" s="382"/>
      <c r="C318" s="382"/>
      <c r="D318" s="382"/>
      <c r="E318" s="382"/>
      <c r="F318" s="382"/>
      <c r="G318" s="382"/>
      <c r="H318" s="382"/>
      <c r="I318" s="382"/>
      <c r="J318" s="382"/>
      <c r="K318" s="382"/>
      <c r="L318" s="382"/>
      <c r="M318" s="382"/>
      <c r="N318" s="382"/>
      <c r="O318" s="382"/>
      <c r="P318" s="382"/>
      <c r="Q318" s="382"/>
      <c r="R318" s="382"/>
      <c r="S318" s="382"/>
      <c r="T318" s="382"/>
      <c r="U318" s="382"/>
      <c r="V318" s="382"/>
      <c r="W318" s="382"/>
      <c r="X318" s="382"/>
      <c r="Y318" s="382"/>
      <c r="Z318" s="382"/>
      <c r="AA318" s="382"/>
      <c r="AB318" s="382"/>
      <c r="AC318" s="382"/>
      <c r="AD318" s="382"/>
      <c r="AE318" s="382"/>
      <c r="AF318" s="382"/>
      <c r="AG318" s="382"/>
      <c r="AH318" s="382"/>
      <c r="AI318" s="382"/>
      <c r="AJ318" s="382"/>
      <c r="AK318" s="382"/>
      <c r="AL318" s="382"/>
      <c r="AM318" s="382"/>
    </row>
    <row r="319" spans="2:39" ht="27.75" customHeight="1">
      <c r="B319" s="382"/>
      <c r="C319" s="382"/>
      <c r="D319" s="382"/>
      <c r="E319" s="382"/>
      <c r="F319" s="382"/>
      <c r="G319" s="382"/>
      <c r="H319" s="382"/>
      <c r="I319" s="382"/>
      <c r="J319" s="382"/>
      <c r="K319" s="382"/>
      <c r="L319" s="382"/>
      <c r="M319" s="382"/>
      <c r="N319" s="382"/>
      <c r="O319" s="382"/>
      <c r="P319" s="382"/>
      <c r="Q319" s="382"/>
      <c r="R319" s="382"/>
      <c r="S319" s="382"/>
      <c r="T319" s="382"/>
      <c r="U319" s="382"/>
      <c r="V319" s="382"/>
      <c r="W319" s="382"/>
      <c r="X319" s="382"/>
      <c r="Y319" s="382"/>
      <c r="Z319" s="382"/>
      <c r="AA319" s="382"/>
      <c r="AB319" s="382"/>
      <c r="AC319" s="382"/>
      <c r="AD319" s="382"/>
      <c r="AE319" s="382"/>
      <c r="AF319" s="382"/>
      <c r="AG319" s="382"/>
      <c r="AH319" s="382"/>
      <c r="AI319" s="382"/>
      <c r="AJ319" s="382"/>
      <c r="AK319" s="382"/>
      <c r="AL319" s="382"/>
      <c r="AM319" s="382"/>
    </row>
    <row r="320" spans="2:39" ht="27.75" customHeight="1">
      <c r="B320" s="382"/>
      <c r="C320" s="382"/>
      <c r="D320" s="382"/>
      <c r="E320" s="382"/>
      <c r="F320" s="382"/>
      <c r="G320" s="382"/>
      <c r="H320" s="382"/>
      <c r="I320" s="382"/>
      <c r="J320" s="382"/>
      <c r="K320" s="382"/>
      <c r="L320" s="382"/>
      <c r="M320" s="382"/>
      <c r="N320" s="382"/>
      <c r="O320" s="382"/>
      <c r="P320" s="382"/>
      <c r="Q320" s="382"/>
      <c r="R320" s="382"/>
      <c r="S320" s="382"/>
      <c r="T320" s="382"/>
      <c r="U320" s="382"/>
      <c r="V320" s="382"/>
      <c r="W320" s="382"/>
      <c r="X320" s="382"/>
      <c r="Y320" s="382"/>
      <c r="Z320" s="382"/>
      <c r="AA320" s="382"/>
      <c r="AB320" s="382"/>
      <c r="AC320" s="382"/>
      <c r="AD320" s="382"/>
      <c r="AE320" s="382"/>
      <c r="AF320" s="382"/>
      <c r="AG320" s="382"/>
      <c r="AH320" s="382"/>
      <c r="AI320" s="382"/>
      <c r="AJ320" s="382"/>
      <c r="AK320" s="382"/>
      <c r="AL320" s="382"/>
      <c r="AM320" s="382"/>
    </row>
    <row r="321" spans="2:39" ht="27.75" customHeight="1">
      <c r="B321" s="382"/>
      <c r="C321" s="382"/>
      <c r="D321" s="382"/>
      <c r="E321" s="382"/>
      <c r="F321" s="382"/>
      <c r="G321" s="382"/>
      <c r="H321" s="382"/>
      <c r="I321" s="382"/>
      <c r="J321" s="382"/>
      <c r="K321" s="382"/>
      <c r="L321" s="382"/>
      <c r="M321" s="382"/>
      <c r="N321" s="382"/>
      <c r="O321" s="382"/>
      <c r="P321" s="382"/>
      <c r="Q321" s="382"/>
      <c r="R321" s="382"/>
      <c r="S321" s="382"/>
      <c r="T321" s="382"/>
      <c r="U321" s="382"/>
      <c r="V321" s="382"/>
      <c r="W321" s="382"/>
      <c r="X321" s="382"/>
      <c r="Y321" s="382"/>
      <c r="Z321" s="382"/>
      <c r="AA321" s="382"/>
      <c r="AB321" s="382"/>
      <c r="AC321" s="382"/>
      <c r="AD321" s="382"/>
      <c r="AE321" s="382"/>
      <c r="AF321" s="382"/>
      <c r="AG321" s="382"/>
      <c r="AH321" s="382"/>
      <c r="AI321" s="382"/>
      <c r="AJ321" s="382"/>
      <c r="AK321" s="382"/>
      <c r="AL321" s="382"/>
      <c r="AM321" s="382"/>
    </row>
    <row r="322" spans="2:39" ht="27.75" customHeight="1">
      <c r="B322" s="382"/>
      <c r="C322" s="382"/>
      <c r="D322" s="382"/>
      <c r="E322" s="382"/>
      <c r="F322" s="382"/>
      <c r="G322" s="382"/>
      <c r="H322" s="382"/>
      <c r="I322" s="382"/>
      <c r="J322" s="382"/>
      <c r="K322" s="382"/>
      <c r="L322" s="382"/>
      <c r="M322" s="382"/>
      <c r="N322" s="382"/>
      <c r="O322" s="382"/>
      <c r="P322" s="382"/>
      <c r="Q322" s="382"/>
      <c r="R322" s="382"/>
      <c r="S322" s="382"/>
      <c r="T322" s="382"/>
      <c r="U322" s="382"/>
      <c r="V322" s="382"/>
      <c r="W322" s="382"/>
      <c r="X322" s="382"/>
      <c r="Y322" s="382"/>
      <c r="Z322" s="382"/>
      <c r="AA322" s="382"/>
      <c r="AB322" s="382"/>
      <c r="AC322" s="382"/>
      <c r="AD322" s="382"/>
      <c r="AE322" s="382"/>
      <c r="AF322" s="382"/>
      <c r="AG322" s="382"/>
      <c r="AH322" s="382"/>
      <c r="AI322" s="382"/>
      <c r="AJ322" s="382"/>
      <c r="AK322" s="382"/>
      <c r="AL322" s="382"/>
      <c r="AM322" s="382"/>
    </row>
    <row r="323" spans="2:39" ht="27.75" customHeight="1">
      <c r="B323" s="382"/>
      <c r="C323" s="382"/>
      <c r="D323" s="382"/>
      <c r="E323" s="382"/>
      <c r="F323" s="382"/>
      <c r="G323" s="382"/>
      <c r="H323" s="382"/>
      <c r="I323" s="382"/>
      <c r="J323" s="382"/>
      <c r="K323" s="382"/>
      <c r="L323" s="382"/>
      <c r="M323" s="382"/>
      <c r="N323" s="382"/>
      <c r="O323" s="382"/>
      <c r="P323" s="382"/>
      <c r="Q323" s="382"/>
      <c r="R323" s="382"/>
      <c r="S323" s="382"/>
      <c r="T323" s="382"/>
      <c r="U323" s="382"/>
      <c r="V323" s="382"/>
      <c r="W323" s="382"/>
      <c r="X323" s="382"/>
      <c r="Y323" s="382"/>
      <c r="Z323" s="382"/>
      <c r="AA323" s="382"/>
      <c r="AB323" s="382"/>
      <c r="AC323" s="382"/>
      <c r="AD323" s="382"/>
      <c r="AE323" s="382"/>
      <c r="AF323" s="382"/>
      <c r="AG323" s="382"/>
      <c r="AH323" s="382"/>
      <c r="AI323" s="382"/>
      <c r="AJ323" s="382"/>
      <c r="AK323" s="382"/>
      <c r="AL323" s="382"/>
      <c r="AM323" s="382"/>
    </row>
    <row r="324" spans="2:39" ht="27.75" customHeight="1">
      <c r="B324" s="382"/>
      <c r="C324" s="382"/>
      <c r="D324" s="382"/>
      <c r="E324" s="382"/>
      <c r="F324" s="382"/>
      <c r="G324" s="382"/>
      <c r="H324" s="382"/>
      <c r="I324" s="382"/>
      <c r="J324" s="382"/>
      <c r="K324" s="382"/>
      <c r="L324" s="382"/>
      <c r="M324" s="382"/>
      <c r="N324" s="382"/>
      <c r="O324" s="382"/>
      <c r="P324" s="382"/>
      <c r="Q324" s="382"/>
      <c r="R324" s="382"/>
      <c r="S324" s="382"/>
      <c r="T324" s="382"/>
      <c r="U324" s="382"/>
      <c r="V324" s="382"/>
      <c r="W324" s="382"/>
      <c r="X324" s="382"/>
      <c r="Y324" s="382"/>
      <c r="Z324" s="382"/>
      <c r="AA324" s="382"/>
      <c r="AB324" s="382"/>
      <c r="AC324" s="382"/>
      <c r="AD324" s="382"/>
      <c r="AE324" s="382"/>
      <c r="AF324" s="382"/>
      <c r="AG324" s="382"/>
      <c r="AH324" s="382"/>
      <c r="AI324" s="382"/>
      <c r="AJ324" s="382"/>
      <c r="AK324" s="382"/>
      <c r="AL324" s="382"/>
      <c r="AM324" s="382"/>
    </row>
    <row r="325" spans="2:39" ht="27.75" customHeight="1">
      <c r="B325" s="382"/>
      <c r="C325" s="382"/>
      <c r="D325" s="382"/>
      <c r="E325" s="382"/>
      <c r="F325" s="382"/>
      <c r="G325" s="382"/>
      <c r="H325" s="382"/>
      <c r="I325" s="382"/>
      <c r="J325" s="382"/>
      <c r="K325" s="382"/>
      <c r="L325" s="382"/>
      <c r="M325" s="382"/>
      <c r="N325" s="382"/>
      <c r="O325" s="382"/>
      <c r="P325" s="382"/>
      <c r="Q325" s="382"/>
      <c r="R325" s="382"/>
      <c r="S325" s="382"/>
      <c r="T325" s="382"/>
      <c r="U325" s="382"/>
      <c r="V325" s="382"/>
      <c r="W325" s="382"/>
      <c r="X325" s="382"/>
      <c r="Y325" s="382"/>
      <c r="Z325" s="382"/>
      <c r="AA325" s="382"/>
      <c r="AB325" s="382"/>
      <c r="AC325" s="382"/>
      <c r="AD325" s="382"/>
      <c r="AE325" s="382"/>
      <c r="AF325" s="382"/>
      <c r="AG325" s="382"/>
      <c r="AH325" s="382"/>
      <c r="AI325" s="382"/>
      <c r="AJ325" s="382"/>
      <c r="AK325" s="382"/>
      <c r="AL325" s="382"/>
      <c r="AM325" s="382"/>
    </row>
    <row r="326" spans="2:39" ht="27.75" customHeight="1">
      <c r="B326" s="382"/>
      <c r="C326" s="382"/>
      <c r="D326" s="382"/>
      <c r="E326" s="382"/>
      <c r="F326" s="382"/>
      <c r="G326" s="382"/>
      <c r="H326" s="382"/>
      <c r="I326" s="382"/>
      <c r="J326" s="382"/>
      <c r="K326" s="382"/>
      <c r="L326" s="382"/>
      <c r="M326" s="382"/>
      <c r="N326" s="382"/>
      <c r="O326" s="382"/>
      <c r="P326" s="382"/>
      <c r="Q326" s="382"/>
      <c r="R326" s="382"/>
      <c r="S326" s="382"/>
      <c r="T326" s="382"/>
      <c r="U326" s="382"/>
      <c r="V326" s="382"/>
      <c r="W326" s="382"/>
      <c r="X326" s="382"/>
      <c r="Y326" s="382"/>
      <c r="Z326" s="382"/>
      <c r="AA326" s="382"/>
      <c r="AB326" s="382"/>
      <c r="AC326" s="382"/>
      <c r="AD326" s="382"/>
      <c r="AE326" s="382"/>
      <c r="AF326" s="382"/>
      <c r="AG326" s="382"/>
      <c r="AH326" s="382"/>
      <c r="AI326" s="382"/>
      <c r="AJ326" s="382"/>
      <c r="AK326" s="382"/>
      <c r="AL326" s="382"/>
      <c r="AM326" s="382"/>
    </row>
    <row r="327" spans="2:39" ht="27.75" customHeight="1">
      <c r="B327" s="382"/>
      <c r="C327" s="382"/>
      <c r="D327" s="382"/>
      <c r="E327" s="382"/>
      <c r="F327" s="382"/>
      <c r="G327" s="382"/>
      <c r="H327" s="382"/>
      <c r="I327" s="382"/>
      <c r="J327" s="382"/>
      <c r="K327" s="382"/>
      <c r="L327" s="382"/>
      <c r="M327" s="382"/>
      <c r="N327" s="382"/>
      <c r="O327" s="382"/>
      <c r="P327" s="382"/>
      <c r="Q327" s="382"/>
      <c r="R327" s="382"/>
      <c r="S327" s="382"/>
      <c r="T327" s="382"/>
      <c r="U327" s="382"/>
      <c r="V327" s="382"/>
      <c r="W327" s="382"/>
      <c r="X327" s="382"/>
      <c r="Y327" s="382"/>
      <c r="Z327" s="382"/>
      <c r="AA327" s="382"/>
      <c r="AB327" s="382"/>
      <c r="AC327" s="382"/>
      <c r="AD327" s="382"/>
      <c r="AE327" s="382"/>
      <c r="AF327" s="382"/>
      <c r="AG327" s="382"/>
      <c r="AH327" s="382"/>
      <c r="AI327" s="382"/>
      <c r="AJ327" s="382"/>
      <c r="AK327" s="382"/>
      <c r="AL327" s="382"/>
      <c r="AM327" s="382"/>
    </row>
    <row r="328" spans="2:39" ht="27.75" customHeight="1">
      <c r="B328" s="382"/>
      <c r="C328" s="382"/>
      <c r="D328" s="382"/>
      <c r="E328" s="382"/>
      <c r="F328" s="382"/>
      <c r="G328" s="382"/>
      <c r="H328" s="382"/>
      <c r="I328" s="382"/>
      <c r="J328" s="382"/>
      <c r="K328" s="382"/>
      <c r="L328" s="382"/>
      <c r="M328" s="382"/>
      <c r="N328" s="382"/>
      <c r="O328" s="382"/>
      <c r="P328" s="382"/>
      <c r="Q328" s="382"/>
      <c r="R328" s="382"/>
      <c r="S328" s="382"/>
      <c r="T328" s="382"/>
      <c r="U328" s="382"/>
      <c r="V328" s="382"/>
      <c r="W328" s="382"/>
      <c r="X328" s="382"/>
      <c r="Y328" s="382"/>
      <c r="Z328" s="382"/>
      <c r="AA328" s="382"/>
      <c r="AB328" s="382"/>
      <c r="AC328" s="382"/>
      <c r="AD328" s="382"/>
      <c r="AE328" s="382"/>
      <c r="AF328" s="382"/>
      <c r="AG328" s="382"/>
      <c r="AH328" s="382"/>
      <c r="AI328" s="382"/>
      <c r="AJ328" s="382"/>
      <c r="AK328" s="382"/>
      <c r="AL328" s="382"/>
      <c r="AM328" s="382"/>
    </row>
    <row r="329" spans="2:39" ht="27.75" customHeight="1">
      <c r="B329" s="382"/>
      <c r="C329" s="382"/>
      <c r="D329" s="382"/>
      <c r="E329" s="382"/>
      <c r="F329" s="382"/>
      <c r="G329" s="382"/>
      <c r="H329" s="382"/>
      <c r="I329" s="382"/>
      <c r="J329" s="382"/>
      <c r="K329" s="382"/>
      <c r="L329" s="382"/>
      <c r="M329" s="382"/>
      <c r="N329" s="382"/>
      <c r="O329" s="382"/>
      <c r="P329" s="382"/>
      <c r="Q329" s="382"/>
      <c r="R329" s="382"/>
      <c r="S329" s="382"/>
      <c r="T329" s="382"/>
      <c r="U329" s="382"/>
      <c r="V329" s="382"/>
      <c r="W329" s="382"/>
      <c r="X329" s="382"/>
      <c r="Y329" s="382"/>
      <c r="Z329" s="382"/>
      <c r="AA329" s="382"/>
      <c r="AB329" s="382"/>
      <c r="AC329" s="382"/>
      <c r="AD329" s="382"/>
      <c r="AE329" s="382"/>
      <c r="AF329" s="382"/>
      <c r="AG329" s="382"/>
      <c r="AH329" s="382"/>
      <c r="AI329" s="382"/>
      <c r="AJ329" s="382"/>
      <c r="AK329" s="382"/>
      <c r="AL329" s="382"/>
      <c r="AM329" s="382"/>
    </row>
    <row r="330" spans="2:39" ht="27.75" customHeight="1">
      <c r="B330" s="382"/>
      <c r="C330" s="382"/>
      <c r="D330" s="382"/>
      <c r="E330" s="382"/>
      <c r="F330" s="382"/>
      <c r="G330" s="382"/>
      <c r="H330" s="382"/>
      <c r="I330" s="382"/>
      <c r="J330" s="382"/>
      <c r="K330" s="382"/>
      <c r="L330" s="382"/>
      <c r="M330" s="382"/>
      <c r="N330" s="382"/>
      <c r="O330" s="382"/>
      <c r="P330" s="382"/>
      <c r="Q330" s="382"/>
      <c r="R330" s="382"/>
      <c r="S330" s="382"/>
      <c r="T330" s="382"/>
      <c r="U330" s="382"/>
      <c r="V330" s="382"/>
      <c r="W330" s="382"/>
      <c r="X330" s="382"/>
      <c r="Y330" s="382"/>
      <c r="Z330" s="382"/>
      <c r="AA330" s="382"/>
      <c r="AB330" s="382"/>
      <c r="AC330" s="382"/>
      <c r="AD330" s="382"/>
      <c r="AE330" s="382"/>
      <c r="AF330" s="382"/>
      <c r="AG330" s="382"/>
      <c r="AH330" s="382"/>
      <c r="AI330" s="382"/>
      <c r="AJ330" s="382"/>
      <c r="AK330" s="382"/>
      <c r="AL330" s="382"/>
      <c r="AM330" s="382"/>
    </row>
    <row r="331" spans="2:39" ht="27.75" customHeight="1">
      <c r="B331" s="382"/>
      <c r="C331" s="382"/>
      <c r="D331" s="382"/>
      <c r="E331" s="382"/>
      <c r="F331" s="382"/>
      <c r="G331" s="382"/>
      <c r="H331" s="382"/>
      <c r="I331" s="382"/>
      <c r="J331" s="382"/>
      <c r="K331" s="382"/>
      <c r="L331" s="382"/>
      <c r="M331" s="382"/>
      <c r="N331" s="382"/>
      <c r="O331" s="382"/>
      <c r="P331" s="382"/>
      <c r="Q331" s="382"/>
      <c r="R331" s="382"/>
      <c r="S331" s="382"/>
      <c r="T331" s="382"/>
      <c r="U331" s="382"/>
      <c r="V331" s="382"/>
      <c r="W331" s="382"/>
      <c r="X331" s="382"/>
      <c r="Y331" s="382"/>
      <c r="Z331" s="382"/>
      <c r="AA331" s="382"/>
      <c r="AB331" s="382"/>
      <c r="AC331" s="382"/>
      <c r="AD331" s="382"/>
      <c r="AE331" s="382"/>
      <c r="AF331" s="382"/>
      <c r="AG331" s="382"/>
      <c r="AH331" s="382"/>
      <c r="AI331" s="382"/>
      <c r="AJ331" s="382"/>
      <c r="AK331" s="382"/>
      <c r="AL331" s="382"/>
      <c r="AM331" s="382"/>
    </row>
    <row r="332" spans="2:39" ht="27.75" customHeight="1">
      <c r="B332" s="382"/>
      <c r="C332" s="382"/>
      <c r="D332" s="382"/>
      <c r="E332" s="382"/>
      <c r="F332" s="382"/>
      <c r="G332" s="382"/>
      <c r="H332" s="382"/>
      <c r="I332" s="382"/>
      <c r="J332" s="382"/>
      <c r="K332" s="382"/>
      <c r="L332" s="382"/>
      <c r="M332" s="382"/>
      <c r="N332" s="382"/>
      <c r="O332" s="382"/>
      <c r="P332" s="382"/>
      <c r="Q332" s="382"/>
      <c r="R332" s="382"/>
      <c r="S332" s="382"/>
      <c r="T332" s="382"/>
      <c r="U332" s="382"/>
      <c r="V332" s="382"/>
      <c r="W332" s="382"/>
      <c r="X332" s="382"/>
      <c r="Y332" s="382"/>
      <c r="Z332" s="382"/>
      <c r="AA332" s="382"/>
      <c r="AB332" s="382"/>
      <c r="AC332" s="382"/>
      <c r="AD332" s="382"/>
      <c r="AE332" s="382"/>
      <c r="AF332" s="382"/>
      <c r="AG332" s="382"/>
      <c r="AH332" s="382"/>
      <c r="AI332" s="382"/>
      <c r="AJ332" s="382"/>
      <c r="AK332" s="382"/>
      <c r="AL332" s="382"/>
      <c r="AM332" s="382"/>
    </row>
    <row r="333" spans="2:39" ht="27.75" customHeight="1">
      <c r="B333" s="382"/>
      <c r="C333" s="382"/>
      <c r="D333" s="382"/>
      <c r="E333" s="382"/>
      <c r="F333" s="382"/>
      <c r="G333" s="382"/>
      <c r="H333" s="382"/>
      <c r="I333" s="382"/>
      <c r="J333" s="382"/>
      <c r="K333" s="382"/>
      <c r="L333" s="382"/>
      <c r="M333" s="382"/>
      <c r="N333" s="382"/>
      <c r="O333" s="382"/>
      <c r="P333" s="382"/>
      <c r="Q333" s="382"/>
      <c r="R333" s="382"/>
      <c r="S333" s="382"/>
      <c r="T333" s="382"/>
      <c r="U333" s="382"/>
      <c r="V333" s="382"/>
      <c r="W333" s="382"/>
      <c r="X333" s="382"/>
      <c r="Y333" s="382"/>
      <c r="Z333" s="382"/>
      <c r="AA333" s="382"/>
      <c r="AB333" s="382"/>
      <c r="AC333" s="382"/>
      <c r="AD333" s="382"/>
      <c r="AE333" s="382"/>
      <c r="AF333" s="382"/>
      <c r="AG333" s="382"/>
      <c r="AH333" s="382"/>
      <c r="AI333" s="382"/>
      <c r="AJ333" s="382"/>
      <c r="AK333" s="382"/>
      <c r="AL333" s="382"/>
      <c r="AM333" s="382"/>
    </row>
    <row r="334" spans="2:39" ht="27.75" customHeight="1">
      <c r="B334" s="382"/>
      <c r="C334" s="382"/>
      <c r="D334" s="382"/>
      <c r="E334" s="382"/>
      <c r="F334" s="382"/>
      <c r="G334" s="382"/>
      <c r="H334" s="382"/>
      <c r="I334" s="382"/>
      <c r="J334" s="382"/>
      <c r="K334" s="382"/>
      <c r="L334" s="382"/>
      <c r="M334" s="382"/>
      <c r="N334" s="382"/>
      <c r="O334" s="382"/>
      <c r="P334" s="382"/>
      <c r="Q334" s="382"/>
      <c r="R334" s="382"/>
      <c r="S334" s="382"/>
      <c r="T334" s="382"/>
      <c r="U334" s="382"/>
      <c r="V334" s="382"/>
      <c r="W334" s="382"/>
      <c r="X334" s="382"/>
      <c r="Y334" s="382"/>
      <c r="Z334" s="382"/>
      <c r="AA334" s="382"/>
      <c r="AB334" s="382"/>
      <c r="AC334" s="382"/>
      <c r="AD334" s="382"/>
      <c r="AE334" s="382"/>
      <c r="AF334" s="382"/>
      <c r="AG334" s="382"/>
      <c r="AH334" s="382"/>
      <c r="AI334" s="382"/>
      <c r="AJ334" s="382"/>
      <c r="AK334" s="382"/>
      <c r="AL334" s="382"/>
      <c r="AM334" s="382"/>
    </row>
    <row r="335" spans="2:39" ht="27.75" customHeight="1">
      <c r="B335" s="382"/>
      <c r="C335" s="382"/>
      <c r="D335" s="382"/>
      <c r="E335" s="382"/>
      <c r="F335" s="382"/>
      <c r="G335" s="382"/>
      <c r="H335" s="382"/>
      <c r="I335" s="382"/>
      <c r="J335" s="382"/>
      <c r="K335" s="382"/>
      <c r="L335" s="382"/>
      <c r="M335" s="382"/>
      <c r="N335" s="382"/>
      <c r="O335" s="382"/>
      <c r="P335" s="382"/>
      <c r="Q335" s="382"/>
      <c r="R335" s="382"/>
      <c r="S335" s="382"/>
      <c r="T335" s="382"/>
      <c r="U335" s="382"/>
      <c r="V335" s="382"/>
      <c r="W335" s="382"/>
      <c r="X335" s="382"/>
      <c r="Y335" s="382"/>
      <c r="Z335" s="382"/>
      <c r="AA335" s="382"/>
      <c r="AB335" s="382"/>
      <c r="AC335" s="382"/>
      <c r="AD335" s="382"/>
      <c r="AE335" s="382"/>
      <c r="AF335" s="382"/>
      <c r="AG335" s="382"/>
      <c r="AH335" s="382"/>
      <c r="AI335" s="382"/>
      <c r="AJ335" s="382"/>
      <c r="AK335" s="382"/>
      <c r="AL335" s="382"/>
      <c r="AM335" s="382"/>
    </row>
    <row r="336" spans="2:39" ht="27.75" customHeight="1">
      <c r="B336" s="382"/>
      <c r="C336" s="382"/>
      <c r="D336" s="382"/>
      <c r="E336" s="382"/>
      <c r="F336" s="382"/>
      <c r="G336" s="382"/>
      <c r="H336" s="382"/>
      <c r="I336" s="382"/>
      <c r="J336" s="382"/>
      <c r="K336" s="382"/>
      <c r="L336" s="382"/>
      <c r="M336" s="382"/>
      <c r="N336" s="382"/>
      <c r="O336" s="382"/>
      <c r="P336" s="382"/>
      <c r="Q336" s="382"/>
      <c r="R336" s="382"/>
      <c r="S336" s="382"/>
      <c r="T336" s="382"/>
      <c r="U336" s="382"/>
      <c r="V336" s="382"/>
      <c r="W336" s="382"/>
      <c r="X336" s="382"/>
      <c r="Y336" s="382"/>
      <c r="Z336" s="382"/>
      <c r="AA336" s="382"/>
      <c r="AB336" s="382"/>
      <c r="AC336" s="382"/>
      <c r="AD336" s="382"/>
      <c r="AE336" s="382"/>
      <c r="AF336" s="382"/>
      <c r="AG336" s="382"/>
      <c r="AH336" s="382"/>
      <c r="AI336" s="382"/>
      <c r="AJ336" s="382"/>
      <c r="AK336" s="382"/>
      <c r="AL336" s="382"/>
      <c r="AM336" s="382"/>
    </row>
    <row r="337" spans="2:39" ht="27.75" customHeight="1">
      <c r="B337" s="382"/>
      <c r="C337" s="382"/>
      <c r="D337" s="382"/>
      <c r="E337" s="382"/>
      <c r="F337" s="382"/>
      <c r="G337" s="382"/>
      <c r="H337" s="382"/>
      <c r="I337" s="382"/>
      <c r="J337" s="382"/>
      <c r="K337" s="382"/>
      <c r="L337" s="382"/>
      <c r="M337" s="382"/>
      <c r="N337" s="382"/>
      <c r="O337" s="382"/>
      <c r="P337" s="382"/>
      <c r="Q337" s="382"/>
      <c r="R337" s="382"/>
      <c r="S337" s="382"/>
      <c r="T337" s="382"/>
      <c r="U337" s="382"/>
      <c r="V337" s="382"/>
      <c r="W337" s="382"/>
      <c r="X337" s="382"/>
      <c r="Y337" s="382"/>
      <c r="Z337" s="382"/>
      <c r="AA337" s="382"/>
      <c r="AB337" s="382"/>
      <c r="AC337" s="382"/>
      <c r="AD337" s="382"/>
      <c r="AE337" s="382"/>
      <c r="AF337" s="382"/>
      <c r="AG337" s="382"/>
      <c r="AH337" s="382"/>
      <c r="AI337" s="382"/>
      <c r="AJ337" s="382"/>
      <c r="AK337" s="382"/>
      <c r="AL337" s="382"/>
      <c r="AM337" s="382"/>
    </row>
    <row r="338" spans="2:39" ht="27.75" customHeight="1">
      <c r="B338" s="382"/>
      <c r="C338" s="382"/>
      <c r="D338" s="382"/>
      <c r="E338" s="382"/>
      <c r="F338" s="382"/>
      <c r="G338" s="382"/>
      <c r="H338" s="382"/>
      <c r="I338" s="382"/>
      <c r="J338" s="382"/>
      <c r="K338" s="382"/>
      <c r="L338" s="382"/>
      <c r="M338" s="382"/>
      <c r="N338" s="382"/>
      <c r="O338" s="382"/>
      <c r="P338" s="382"/>
      <c r="Q338" s="382"/>
      <c r="R338" s="382"/>
      <c r="S338" s="382"/>
      <c r="T338" s="382"/>
      <c r="U338" s="382"/>
      <c r="V338" s="382"/>
      <c r="W338" s="382"/>
      <c r="X338" s="382"/>
      <c r="Y338" s="382"/>
      <c r="Z338" s="382"/>
      <c r="AA338" s="382"/>
      <c r="AB338" s="382"/>
      <c r="AC338" s="382"/>
      <c r="AD338" s="382"/>
      <c r="AE338" s="382"/>
      <c r="AF338" s="382"/>
      <c r="AG338" s="382"/>
      <c r="AH338" s="382"/>
      <c r="AI338" s="382"/>
      <c r="AJ338" s="382"/>
      <c r="AK338" s="382"/>
      <c r="AL338" s="382"/>
      <c r="AM338" s="382"/>
    </row>
    <row r="339" spans="2:39" ht="27.75" customHeight="1">
      <c r="B339" s="382"/>
      <c r="C339" s="382"/>
      <c r="D339" s="382"/>
      <c r="E339" s="382"/>
      <c r="F339" s="382"/>
      <c r="G339" s="382"/>
      <c r="H339" s="382"/>
      <c r="I339" s="382"/>
      <c r="J339" s="382"/>
      <c r="K339" s="382"/>
      <c r="L339" s="382"/>
      <c r="M339" s="382"/>
      <c r="N339" s="382"/>
      <c r="O339" s="382"/>
      <c r="P339" s="382"/>
      <c r="Q339" s="382"/>
      <c r="R339" s="382"/>
      <c r="S339" s="382"/>
      <c r="T339" s="382"/>
      <c r="U339" s="382"/>
      <c r="V339" s="382"/>
      <c r="W339" s="382"/>
      <c r="X339" s="382"/>
      <c r="Y339" s="382"/>
      <c r="Z339" s="382"/>
      <c r="AA339" s="382"/>
      <c r="AB339" s="382"/>
      <c r="AC339" s="382"/>
      <c r="AD339" s="382"/>
      <c r="AE339" s="382"/>
      <c r="AF339" s="382"/>
      <c r="AG339" s="382"/>
      <c r="AH339" s="382"/>
      <c r="AI339" s="382"/>
      <c r="AJ339" s="382"/>
      <c r="AK339" s="382"/>
      <c r="AL339" s="382"/>
      <c r="AM339" s="382"/>
    </row>
    <row r="340" spans="2:39" ht="27.75" customHeight="1">
      <c r="B340" s="382"/>
      <c r="C340" s="382"/>
      <c r="D340" s="382"/>
      <c r="E340" s="382"/>
      <c r="F340" s="382"/>
      <c r="G340" s="382"/>
      <c r="H340" s="382"/>
      <c r="I340" s="382"/>
      <c r="J340" s="382"/>
      <c r="K340" s="382"/>
      <c r="L340" s="382"/>
      <c r="M340" s="382"/>
      <c r="N340" s="382"/>
      <c r="O340" s="382"/>
      <c r="P340" s="382"/>
      <c r="Q340" s="382"/>
      <c r="R340" s="382"/>
      <c r="S340" s="382"/>
      <c r="T340" s="382"/>
      <c r="U340" s="382"/>
      <c r="V340" s="382"/>
      <c r="W340" s="382"/>
      <c r="X340" s="382"/>
      <c r="Y340" s="382"/>
      <c r="Z340" s="382"/>
      <c r="AA340" s="382"/>
      <c r="AB340" s="382"/>
      <c r="AC340" s="382"/>
      <c r="AD340" s="382"/>
      <c r="AE340" s="382"/>
      <c r="AF340" s="382"/>
      <c r="AG340" s="382"/>
      <c r="AH340" s="382"/>
      <c r="AI340" s="382"/>
      <c r="AJ340" s="382"/>
      <c r="AK340" s="382"/>
      <c r="AL340" s="382"/>
      <c r="AM340" s="382"/>
    </row>
    <row r="341" spans="2:39" ht="27.75" customHeight="1">
      <c r="B341" s="382"/>
      <c r="C341" s="382"/>
      <c r="D341" s="382"/>
      <c r="E341" s="382"/>
      <c r="F341" s="382"/>
      <c r="G341" s="382"/>
      <c r="H341" s="382"/>
      <c r="I341" s="382"/>
      <c r="J341" s="382"/>
      <c r="K341" s="382"/>
      <c r="L341" s="382"/>
      <c r="M341" s="382"/>
      <c r="N341" s="382"/>
      <c r="O341" s="382"/>
      <c r="P341" s="382"/>
      <c r="Q341" s="382"/>
      <c r="R341" s="382"/>
      <c r="S341" s="382"/>
      <c r="T341" s="382"/>
      <c r="U341" s="382"/>
      <c r="V341" s="382"/>
      <c r="W341" s="382"/>
      <c r="X341" s="382"/>
      <c r="Y341" s="382"/>
      <c r="Z341" s="382"/>
      <c r="AA341" s="382"/>
      <c r="AB341" s="382"/>
      <c r="AC341" s="382"/>
      <c r="AD341" s="382"/>
      <c r="AE341" s="382"/>
      <c r="AF341" s="382"/>
      <c r="AG341" s="382"/>
      <c r="AH341" s="382"/>
      <c r="AI341" s="382"/>
      <c r="AJ341" s="382"/>
      <c r="AK341" s="382"/>
      <c r="AL341" s="382"/>
      <c r="AM341" s="382"/>
    </row>
    <row r="342" spans="2:39" ht="27.75" customHeight="1">
      <c r="B342" s="382"/>
      <c r="C342" s="382"/>
      <c r="D342" s="382"/>
      <c r="E342" s="382"/>
      <c r="F342" s="382"/>
      <c r="G342" s="382"/>
      <c r="H342" s="382"/>
      <c r="I342" s="382"/>
      <c r="J342" s="382"/>
      <c r="K342" s="382"/>
      <c r="L342" s="382"/>
      <c r="M342" s="382"/>
      <c r="N342" s="382"/>
      <c r="O342" s="382"/>
      <c r="P342" s="382"/>
      <c r="Q342" s="382"/>
      <c r="R342" s="382"/>
      <c r="S342" s="382"/>
      <c r="T342" s="382"/>
      <c r="U342" s="382"/>
      <c r="V342" s="382"/>
      <c r="W342" s="382"/>
      <c r="X342" s="382"/>
      <c r="Y342" s="382"/>
      <c r="Z342" s="382"/>
      <c r="AA342" s="382"/>
      <c r="AB342" s="382"/>
      <c r="AC342" s="382"/>
      <c r="AD342" s="382"/>
      <c r="AE342" s="382"/>
      <c r="AF342" s="382"/>
      <c r="AG342" s="382"/>
      <c r="AH342" s="382"/>
      <c r="AI342" s="382"/>
      <c r="AJ342" s="382"/>
      <c r="AK342" s="382"/>
      <c r="AL342" s="382"/>
      <c r="AM342" s="382"/>
    </row>
    <row r="343" spans="2:39" ht="27.75" customHeight="1">
      <c r="B343" s="382"/>
      <c r="C343" s="382"/>
      <c r="D343" s="382"/>
      <c r="E343" s="382"/>
      <c r="F343" s="382"/>
      <c r="G343" s="382"/>
      <c r="H343" s="382"/>
      <c r="I343" s="382"/>
      <c r="J343" s="382"/>
      <c r="K343" s="382"/>
      <c r="L343" s="382"/>
      <c r="M343" s="382"/>
      <c r="N343" s="382"/>
      <c r="O343" s="382"/>
      <c r="P343" s="382"/>
      <c r="Q343" s="382"/>
      <c r="R343" s="382"/>
      <c r="S343" s="382"/>
      <c r="T343" s="382"/>
      <c r="U343" s="382"/>
      <c r="V343" s="382"/>
      <c r="W343" s="382"/>
      <c r="X343" s="382"/>
      <c r="Y343" s="382"/>
      <c r="Z343" s="382"/>
      <c r="AA343" s="382"/>
      <c r="AB343" s="382"/>
      <c r="AC343" s="382"/>
      <c r="AD343" s="382"/>
      <c r="AE343" s="382"/>
      <c r="AF343" s="382"/>
      <c r="AG343" s="382"/>
      <c r="AH343" s="382"/>
      <c r="AI343" s="382"/>
      <c r="AJ343" s="382"/>
      <c r="AK343" s="382"/>
      <c r="AL343" s="382"/>
      <c r="AM343" s="382"/>
    </row>
    <row r="344" spans="2:39" ht="27.75" customHeight="1">
      <c r="B344" s="382"/>
      <c r="C344" s="382"/>
      <c r="D344" s="382"/>
      <c r="E344" s="382"/>
      <c r="F344" s="382"/>
      <c r="G344" s="382"/>
      <c r="H344" s="382"/>
      <c r="I344" s="382"/>
      <c r="J344" s="382"/>
      <c r="K344" s="382"/>
      <c r="L344" s="382"/>
      <c r="M344" s="382"/>
      <c r="N344" s="382"/>
      <c r="O344" s="382"/>
      <c r="P344" s="382"/>
      <c r="Q344" s="382"/>
      <c r="R344" s="382"/>
      <c r="S344" s="382"/>
      <c r="T344" s="382"/>
      <c r="U344" s="382"/>
      <c r="V344" s="382"/>
      <c r="W344" s="382"/>
      <c r="X344" s="382"/>
      <c r="Y344" s="382"/>
      <c r="Z344" s="382"/>
      <c r="AA344" s="382"/>
      <c r="AB344" s="382"/>
      <c r="AC344" s="382"/>
      <c r="AD344" s="382"/>
      <c r="AE344" s="382"/>
      <c r="AF344" s="382"/>
      <c r="AG344" s="382"/>
      <c r="AH344" s="382"/>
      <c r="AI344" s="382"/>
      <c r="AJ344" s="382"/>
      <c r="AK344" s="382"/>
      <c r="AL344" s="382"/>
      <c r="AM344" s="382"/>
    </row>
    <row r="345" spans="2:39" ht="27.75" customHeight="1">
      <c r="B345" s="382"/>
      <c r="C345" s="382"/>
      <c r="D345" s="382"/>
      <c r="E345" s="382"/>
      <c r="F345" s="382"/>
      <c r="G345" s="382"/>
      <c r="H345" s="382"/>
      <c r="I345" s="382"/>
      <c r="J345" s="382"/>
      <c r="K345" s="382"/>
      <c r="L345" s="382"/>
      <c r="M345" s="382"/>
      <c r="N345" s="382"/>
      <c r="O345" s="382"/>
      <c r="P345" s="382"/>
      <c r="Q345" s="382"/>
      <c r="R345" s="382"/>
      <c r="S345" s="382"/>
      <c r="T345" s="382"/>
      <c r="U345" s="382"/>
      <c r="V345" s="382"/>
      <c r="W345" s="382"/>
      <c r="X345" s="382"/>
      <c r="Y345" s="382"/>
      <c r="Z345" s="382"/>
      <c r="AA345" s="382"/>
      <c r="AB345" s="382"/>
      <c r="AC345" s="382"/>
      <c r="AD345" s="382"/>
      <c r="AE345" s="382"/>
      <c r="AF345" s="382"/>
      <c r="AG345" s="382"/>
      <c r="AH345" s="382"/>
      <c r="AI345" s="382"/>
      <c r="AJ345" s="382"/>
      <c r="AK345" s="382"/>
      <c r="AL345" s="382"/>
      <c r="AM345" s="382"/>
    </row>
    <row r="346" spans="2:39" ht="27.75" customHeight="1">
      <c r="B346" s="382"/>
      <c r="C346" s="382"/>
      <c r="D346" s="382"/>
      <c r="E346" s="382"/>
      <c r="F346" s="382"/>
      <c r="G346" s="382"/>
      <c r="H346" s="382"/>
      <c r="I346" s="382"/>
      <c r="J346" s="382"/>
      <c r="K346" s="382"/>
      <c r="L346" s="382"/>
      <c r="M346" s="382"/>
      <c r="N346" s="382"/>
      <c r="O346" s="382"/>
      <c r="P346" s="382"/>
      <c r="Q346" s="382"/>
      <c r="R346" s="382"/>
      <c r="S346" s="382"/>
      <c r="T346" s="382"/>
      <c r="U346" s="382"/>
      <c r="V346" s="382"/>
      <c r="W346" s="382"/>
      <c r="X346" s="382"/>
      <c r="Y346" s="382"/>
      <c r="Z346" s="382"/>
      <c r="AA346" s="382"/>
      <c r="AB346" s="382"/>
      <c r="AC346" s="382"/>
      <c r="AD346" s="382"/>
      <c r="AE346" s="382"/>
      <c r="AF346" s="382"/>
      <c r="AG346" s="382"/>
      <c r="AH346" s="382"/>
      <c r="AI346" s="382"/>
      <c r="AJ346" s="382"/>
      <c r="AK346" s="382"/>
      <c r="AL346" s="382"/>
      <c r="AM346" s="382"/>
    </row>
    <row r="347" spans="2:39" ht="27.75" customHeight="1">
      <c r="B347" s="382"/>
      <c r="C347" s="382"/>
      <c r="D347" s="382"/>
      <c r="E347" s="382"/>
      <c r="F347" s="382"/>
      <c r="G347" s="382"/>
      <c r="H347" s="382"/>
      <c r="I347" s="382"/>
      <c r="J347" s="382"/>
      <c r="K347" s="382"/>
      <c r="L347" s="382"/>
      <c r="M347" s="382"/>
      <c r="N347" s="382"/>
      <c r="O347" s="382"/>
      <c r="P347" s="382"/>
      <c r="Q347" s="382"/>
      <c r="R347" s="382"/>
      <c r="S347" s="382"/>
      <c r="T347" s="382"/>
      <c r="U347" s="382"/>
      <c r="V347" s="382"/>
      <c r="W347" s="382"/>
      <c r="X347" s="382"/>
      <c r="Y347" s="382"/>
      <c r="Z347" s="382"/>
      <c r="AA347" s="382"/>
      <c r="AB347" s="382"/>
      <c r="AC347" s="382"/>
      <c r="AD347" s="382"/>
      <c r="AE347" s="382"/>
      <c r="AF347" s="382"/>
      <c r="AG347" s="382"/>
      <c r="AH347" s="382"/>
      <c r="AI347" s="382"/>
      <c r="AJ347" s="382"/>
      <c r="AK347" s="382"/>
      <c r="AL347" s="382"/>
      <c r="AM347" s="382"/>
    </row>
    <row r="348" spans="2:39" ht="27.75" customHeight="1">
      <c r="B348" s="382"/>
      <c r="C348" s="382"/>
      <c r="D348" s="382"/>
      <c r="E348" s="382"/>
      <c r="F348" s="382"/>
      <c r="G348" s="382"/>
      <c r="H348" s="382"/>
      <c r="I348" s="382"/>
      <c r="J348" s="382"/>
      <c r="K348" s="382"/>
      <c r="L348" s="382"/>
      <c r="M348" s="382"/>
      <c r="N348" s="382"/>
      <c r="O348" s="382"/>
      <c r="P348" s="382"/>
      <c r="Q348" s="382"/>
      <c r="R348" s="382"/>
      <c r="S348" s="382"/>
      <c r="T348" s="382"/>
      <c r="U348" s="382"/>
      <c r="V348" s="382"/>
      <c r="W348" s="382"/>
      <c r="X348" s="382"/>
      <c r="Y348" s="382"/>
      <c r="Z348" s="382"/>
      <c r="AA348" s="382"/>
      <c r="AB348" s="382"/>
      <c r="AC348" s="382"/>
      <c r="AD348" s="382"/>
      <c r="AE348" s="382"/>
      <c r="AF348" s="382"/>
      <c r="AG348" s="382"/>
      <c r="AH348" s="382"/>
      <c r="AI348" s="382"/>
      <c r="AJ348" s="382"/>
      <c r="AK348" s="382"/>
      <c r="AL348" s="382"/>
      <c r="AM348" s="382"/>
    </row>
    <row r="349" spans="2:39" ht="27.75" customHeight="1">
      <c r="B349" s="382"/>
      <c r="C349" s="382"/>
      <c r="D349" s="382"/>
      <c r="E349" s="382"/>
      <c r="F349" s="382"/>
      <c r="G349" s="382"/>
      <c r="H349" s="382"/>
      <c r="I349" s="382"/>
      <c r="J349" s="382"/>
      <c r="K349" s="382"/>
      <c r="L349" s="382"/>
      <c r="M349" s="382"/>
      <c r="N349" s="382"/>
      <c r="O349" s="382"/>
      <c r="P349" s="382"/>
      <c r="Q349" s="382"/>
      <c r="R349" s="382"/>
      <c r="S349" s="382"/>
      <c r="T349" s="382"/>
      <c r="U349" s="382"/>
      <c r="V349" s="382"/>
      <c r="W349" s="382"/>
      <c r="X349" s="382"/>
      <c r="Y349" s="382"/>
      <c r="Z349" s="382"/>
      <c r="AA349" s="382"/>
      <c r="AB349" s="382"/>
      <c r="AC349" s="382"/>
      <c r="AD349" s="382"/>
      <c r="AE349" s="382"/>
      <c r="AF349" s="382"/>
      <c r="AG349" s="382"/>
      <c r="AH349" s="382"/>
      <c r="AI349" s="382"/>
      <c r="AJ349" s="382"/>
      <c r="AK349" s="382"/>
      <c r="AL349" s="382"/>
      <c r="AM349" s="382"/>
    </row>
    <row r="350" spans="2:39" ht="27.75" customHeight="1">
      <c r="B350" s="382"/>
      <c r="C350" s="382"/>
      <c r="D350" s="382"/>
      <c r="E350" s="382"/>
      <c r="F350" s="382"/>
      <c r="G350" s="382"/>
      <c r="H350" s="382"/>
      <c r="I350" s="382"/>
      <c r="J350" s="382"/>
      <c r="K350" s="382"/>
      <c r="L350" s="382"/>
      <c r="M350" s="382"/>
      <c r="N350" s="382"/>
      <c r="O350" s="382"/>
      <c r="P350" s="382"/>
      <c r="Q350" s="382"/>
      <c r="R350" s="382"/>
      <c r="S350" s="382"/>
      <c r="T350" s="382"/>
      <c r="U350" s="382"/>
      <c r="V350" s="382"/>
      <c r="W350" s="382"/>
      <c r="X350" s="382"/>
      <c r="Y350" s="382"/>
      <c r="Z350" s="382"/>
      <c r="AA350" s="382"/>
      <c r="AB350" s="382"/>
      <c r="AC350" s="382"/>
      <c r="AD350" s="382"/>
      <c r="AE350" s="382"/>
      <c r="AF350" s="382"/>
      <c r="AG350" s="382"/>
      <c r="AH350" s="382"/>
      <c r="AI350" s="382"/>
      <c r="AJ350" s="382"/>
      <c r="AK350" s="382"/>
      <c r="AL350" s="382"/>
      <c r="AM350" s="382"/>
    </row>
    <row r="351" spans="2:39" ht="27.75" customHeight="1">
      <c r="B351" s="382"/>
      <c r="C351" s="382"/>
      <c r="D351" s="382"/>
      <c r="E351" s="382"/>
      <c r="F351" s="382"/>
      <c r="G351" s="382"/>
      <c r="H351" s="382"/>
      <c r="I351" s="382"/>
      <c r="J351" s="382"/>
      <c r="K351" s="382"/>
      <c r="L351" s="382"/>
      <c r="M351" s="382"/>
      <c r="N351" s="382"/>
      <c r="O351" s="382"/>
      <c r="P351" s="382"/>
      <c r="Q351" s="382"/>
      <c r="R351" s="382"/>
      <c r="S351" s="382"/>
      <c r="T351" s="382"/>
      <c r="U351" s="382"/>
      <c r="V351" s="382"/>
      <c r="W351" s="382"/>
      <c r="X351" s="382"/>
      <c r="Y351" s="382"/>
      <c r="Z351" s="382"/>
      <c r="AA351" s="382"/>
      <c r="AB351" s="382"/>
      <c r="AC351" s="382"/>
      <c r="AD351" s="382"/>
      <c r="AE351" s="382"/>
      <c r="AF351" s="382"/>
      <c r="AG351" s="382"/>
      <c r="AH351" s="382"/>
      <c r="AI351" s="382"/>
      <c r="AJ351" s="382"/>
      <c r="AK351" s="382"/>
      <c r="AL351" s="382"/>
      <c r="AM351" s="382"/>
    </row>
    <row r="352" spans="2:39" ht="27.75" customHeight="1">
      <c r="B352" s="382"/>
      <c r="C352" s="382"/>
      <c r="D352" s="382"/>
      <c r="E352" s="382"/>
      <c r="F352" s="382"/>
      <c r="G352" s="382"/>
      <c r="H352" s="382"/>
      <c r="I352" s="382"/>
      <c r="J352" s="382"/>
      <c r="K352" s="382"/>
      <c r="L352" s="382"/>
      <c r="M352" s="382"/>
      <c r="N352" s="382"/>
      <c r="O352" s="382"/>
      <c r="P352" s="382"/>
      <c r="Q352" s="382"/>
      <c r="R352" s="382"/>
      <c r="S352" s="382"/>
      <c r="T352" s="382"/>
      <c r="U352" s="382"/>
      <c r="V352" s="382"/>
      <c r="W352" s="382"/>
      <c r="X352" s="382"/>
      <c r="Y352" s="382"/>
      <c r="Z352" s="382"/>
      <c r="AA352" s="382"/>
      <c r="AB352" s="382"/>
      <c r="AC352" s="382"/>
      <c r="AD352" s="382"/>
      <c r="AE352" s="382"/>
      <c r="AF352" s="382"/>
      <c r="AG352" s="382"/>
      <c r="AH352" s="382"/>
      <c r="AI352" s="382"/>
      <c r="AJ352" s="382"/>
      <c r="AK352" s="382"/>
      <c r="AL352" s="382"/>
      <c r="AM352" s="382"/>
    </row>
    <row r="353" spans="2:39" ht="27.75" customHeight="1">
      <c r="B353" s="382"/>
      <c r="C353" s="382"/>
      <c r="D353" s="382"/>
      <c r="E353" s="382"/>
      <c r="F353" s="382"/>
      <c r="G353" s="382"/>
      <c r="H353" s="382"/>
      <c r="I353" s="382"/>
      <c r="J353" s="382"/>
      <c r="K353" s="382"/>
      <c r="L353" s="382"/>
      <c r="M353" s="382"/>
      <c r="N353" s="382"/>
      <c r="O353" s="382"/>
      <c r="P353" s="382"/>
      <c r="Q353" s="382"/>
      <c r="R353" s="382"/>
      <c r="S353" s="382"/>
      <c r="T353" s="382"/>
      <c r="U353" s="382"/>
      <c r="V353" s="382"/>
      <c r="W353" s="382"/>
      <c r="X353" s="382"/>
      <c r="Y353" s="382"/>
      <c r="Z353" s="382"/>
      <c r="AA353" s="382"/>
      <c r="AB353" s="382"/>
      <c r="AC353" s="382"/>
      <c r="AD353" s="382"/>
      <c r="AE353" s="382"/>
      <c r="AF353" s="382"/>
      <c r="AG353" s="382"/>
      <c r="AH353" s="382"/>
      <c r="AI353" s="382"/>
      <c r="AJ353" s="382"/>
      <c r="AK353" s="382"/>
      <c r="AL353" s="382"/>
      <c r="AM353" s="382"/>
    </row>
    <row r="354" spans="2:39" ht="27.75" customHeight="1">
      <c r="B354" s="382"/>
      <c r="C354" s="382"/>
      <c r="D354" s="382"/>
      <c r="E354" s="382"/>
      <c r="F354" s="382"/>
      <c r="G354" s="382"/>
      <c r="H354" s="382"/>
      <c r="I354" s="382"/>
      <c r="J354" s="382"/>
      <c r="K354" s="382"/>
      <c r="L354" s="382"/>
      <c r="M354" s="382"/>
      <c r="N354" s="382"/>
      <c r="O354" s="382"/>
      <c r="P354" s="382"/>
      <c r="Q354" s="382"/>
      <c r="R354" s="382"/>
      <c r="S354" s="382"/>
      <c r="T354" s="382"/>
      <c r="U354" s="382"/>
      <c r="V354" s="382"/>
      <c r="W354" s="382"/>
      <c r="X354" s="382"/>
      <c r="Y354" s="382"/>
      <c r="Z354" s="382"/>
      <c r="AA354" s="382"/>
      <c r="AB354" s="382"/>
      <c r="AC354" s="382"/>
      <c r="AD354" s="382"/>
      <c r="AE354" s="382"/>
      <c r="AF354" s="382"/>
      <c r="AG354" s="382"/>
      <c r="AH354" s="382"/>
      <c r="AI354" s="382"/>
      <c r="AJ354" s="382"/>
      <c r="AK354" s="382"/>
      <c r="AL354" s="382"/>
      <c r="AM354" s="382"/>
    </row>
    <row r="355" spans="2:39" ht="27.75" customHeight="1">
      <c r="B355" s="382"/>
      <c r="C355" s="382"/>
      <c r="D355" s="382"/>
      <c r="E355" s="382"/>
      <c r="F355" s="382"/>
      <c r="G355" s="382"/>
      <c r="H355" s="382"/>
      <c r="I355" s="382"/>
      <c r="J355" s="382"/>
      <c r="K355" s="382"/>
      <c r="L355" s="382"/>
      <c r="M355" s="382"/>
      <c r="N355" s="382"/>
      <c r="O355" s="382"/>
      <c r="P355" s="382"/>
      <c r="Q355" s="382"/>
      <c r="R355" s="382"/>
      <c r="S355" s="382"/>
      <c r="T355" s="382"/>
      <c r="U355" s="382"/>
      <c r="V355" s="382"/>
      <c r="W355" s="382"/>
      <c r="X355" s="382"/>
      <c r="Y355" s="382"/>
      <c r="Z355" s="382"/>
      <c r="AA355" s="382"/>
      <c r="AB355" s="382"/>
      <c r="AC355" s="382"/>
      <c r="AD355" s="382"/>
      <c r="AE355" s="382"/>
      <c r="AF355" s="382"/>
      <c r="AG355" s="382"/>
      <c r="AH355" s="382"/>
      <c r="AI355" s="382"/>
      <c r="AJ355" s="382"/>
      <c r="AK355" s="382"/>
      <c r="AL355" s="382"/>
      <c r="AM355" s="382"/>
    </row>
    <row r="356" spans="2:39" ht="27.75" customHeight="1">
      <c r="B356" s="382"/>
      <c r="C356" s="382"/>
      <c r="D356" s="382"/>
      <c r="E356" s="382"/>
      <c r="F356" s="382"/>
      <c r="G356" s="382"/>
      <c r="H356" s="382"/>
      <c r="I356" s="382"/>
      <c r="J356" s="382"/>
      <c r="K356" s="382"/>
      <c r="L356" s="382"/>
      <c r="M356" s="382"/>
      <c r="N356" s="382"/>
      <c r="O356" s="382"/>
      <c r="P356" s="382"/>
      <c r="Q356" s="382"/>
      <c r="R356" s="382"/>
      <c r="S356" s="382"/>
      <c r="T356" s="382"/>
      <c r="U356" s="382"/>
      <c r="V356" s="382"/>
      <c r="W356" s="382"/>
      <c r="X356" s="382"/>
      <c r="Y356" s="382"/>
      <c r="Z356" s="382"/>
      <c r="AA356" s="382"/>
      <c r="AB356" s="382"/>
      <c r="AC356" s="382"/>
      <c r="AD356" s="382"/>
      <c r="AE356" s="382"/>
      <c r="AF356" s="382"/>
      <c r="AG356" s="382"/>
      <c r="AH356" s="382"/>
      <c r="AI356" s="382"/>
      <c r="AJ356" s="382"/>
      <c r="AK356" s="382"/>
      <c r="AL356" s="382"/>
      <c r="AM356" s="382"/>
    </row>
    <row r="357" spans="2:39" ht="27.75" customHeight="1">
      <c r="B357" s="382"/>
      <c r="C357" s="382"/>
      <c r="D357" s="382"/>
      <c r="E357" s="382"/>
      <c r="F357" s="382"/>
      <c r="G357" s="382"/>
      <c r="H357" s="382"/>
      <c r="I357" s="382"/>
      <c r="J357" s="382"/>
      <c r="K357" s="382"/>
      <c r="L357" s="382"/>
      <c r="M357" s="382"/>
      <c r="N357" s="382"/>
      <c r="O357" s="382"/>
      <c r="P357" s="382"/>
      <c r="Q357" s="382"/>
      <c r="R357" s="382"/>
      <c r="S357" s="382"/>
      <c r="T357" s="382"/>
      <c r="U357" s="382"/>
      <c r="V357" s="382"/>
      <c r="W357" s="382"/>
      <c r="X357" s="382"/>
      <c r="Y357" s="382"/>
      <c r="Z357" s="382"/>
      <c r="AA357" s="382"/>
      <c r="AB357" s="382"/>
      <c r="AC357" s="382"/>
      <c r="AD357" s="382"/>
      <c r="AE357" s="382"/>
      <c r="AF357" s="382"/>
      <c r="AG357" s="382"/>
      <c r="AH357" s="382"/>
      <c r="AI357" s="382"/>
      <c r="AJ357" s="382"/>
      <c r="AK357" s="382"/>
      <c r="AL357" s="382"/>
      <c r="AM357" s="382"/>
    </row>
    <row r="358" spans="2:39" ht="27.75" customHeight="1">
      <c r="B358" s="382"/>
      <c r="C358" s="382"/>
      <c r="D358" s="382"/>
      <c r="E358" s="382"/>
      <c r="F358" s="382"/>
      <c r="G358" s="382"/>
      <c r="H358" s="382"/>
      <c r="I358" s="382"/>
      <c r="J358" s="382"/>
      <c r="K358" s="382"/>
      <c r="L358" s="382"/>
      <c r="M358" s="382"/>
      <c r="N358" s="382"/>
      <c r="O358" s="382"/>
      <c r="P358" s="382"/>
      <c r="Q358" s="382"/>
      <c r="R358" s="382"/>
      <c r="S358" s="382"/>
      <c r="T358" s="382"/>
      <c r="U358" s="382"/>
      <c r="V358" s="382"/>
      <c r="W358" s="382"/>
      <c r="X358" s="382"/>
      <c r="Y358" s="382"/>
      <c r="Z358" s="382"/>
      <c r="AA358" s="382"/>
      <c r="AB358" s="382"/>
      <c r="AC358" s="382"/>
      <c r="AD358" s="382"/>
      <c r="AE358" s="382"/>
      <c r="AF358" s="382"/>
      <c r="AG358" s="382"/>
      <c r="AH358" s="382"/>
      <c r="AI358" s="382"/>
      <c r="AJ358" s="382"/>
      <c r="AK358" s="382"/>
      <c r="AL358" s="382"/>
      <c r="AM358" s="382"/>
    </row>
    <row r="359" spans="2:39" ht="27.75" customHeight="1">
      <c r="B359" s="382"/>
      <c r="C359" s="382"/>
      <c r="D359" s="382"/>
      <c r="E359" s="382"/>
      <c r="F359" s="382"/>
      <c r="G359" s="382"/>
      <c r="H359" s="382"/>
      <c r="I359" s="382"/>
      <c r="J359" s="382"/>
      <c r="K359" s="382"/>
      <c r="L359" s="382"/>
      <c r="M359" s="382"/>
      <c r="N359" s="382"/>
      <c r="O359" s="382"/>
      <c r="P359" s="382"/>
      <c r="Q359" s="382"/>
      <c r="R359" s="382"/>
      <c r="S359" s="382"/>
      <c r="T359" s="382"/>
      <c r="U359" s="382"/>
      <c r="V359" s="382"/>
      <c r="W359" s="382"/>
      <c r="X359" s="382"/>
      <c r="Y359" s="382"/>
      <c r="Z359" s="382"/>
      <c r="AA359" s="382"/>
      <c r="AB359" s="382"/>
      <c r="AC359" s="382"/>
      <c r="AD359" s="382"/>
      <c r="AE359" s="382"/>
      <c r="AF359" s="382"/>
      <c r="AG359" s="382"/>
      <c r="AH359" s="382"/>
      <c r="AI359" s="382"/>
      <c r="AJ359" s="382"/>
      <c r="AK359" s="382"/>
      <c r="AL359" s="382"/>
      <c r="AM359" s="382"/>
    </row>
    <row r="360" spans="2:39" ht="27.75" customHeight="1">
      <c r="B360" s="382"/>
      <c r="C360" s="382"/>
      <c r="D360" s="382"/>
      <c r="E360" s="382"/>
      <c r="F360" s="382"/>
      <c r="G360" s="382"/>
      <c r="H360" s="382"/>
      <c r="I360" s="382"/>
      <c r="J360" s="382"/>
      <c r="K360" s="382"/>
      <c r="L360" s="382"/>
      <c r="M360" s="382"/>
      <c r="N360" s="382"/>
      <c r="O360" s="382"/>
      <c r="P360" s="382"/>
      <c r="Q360" s="382"/>
      <c r="R360" s="382"/>
      <c r="S360" s="382"/>
      <c r="T360" s="382"/>
      <c r="U360" s="382"/>
      <c r="V360" s="382"/>
      <c r="W360" s="382"/>
      <c r="X360" s="382"/>
      <c r="Y360" s="382"/>
      <c r="Z360" s="382"/>
      <c r="AA360" s="382"/>
      <c r="AB360" s="382"/>
      <c r="AC360" s="382"/>
      <c r="AD360" s="382"/>
      <c r="AE360" s="382"/>
      <c r="AF360" s="382"/>
      <c r="AG360" s="382"/>
      <c r="AH360" s="382"/>
      <c r="AI360" s="382"/>
      <c r="AJ360" s="382"/>
      <c r="AK360" s="382"/>
      <c r="AL360" s="382"/>
      <c r="AM360" s="382"/>
    </row>
    <row r="361" spans="2:39" ht="27.75" customHeight="1">
      <c r="B361" s="382"/>
      <c r="C361" s="382"/>
      <c r="D361" s="382"/>
      <c r="E361" s="382"/>
      <c r="F361" s="382"/>
      <c r="G361" s="382"/>
      <c r="H361" s="382"/>
      <c r="I361" s="382"/>
      <c r="J361" s="382"/>
      <c r="K361" s="382"/>
      <c r="L361" s="382"/>
      <c r="M361" s="382"/>
      <c r="N361" s="382"/>
      <c r="O361" s="382"/>
      <c r="P361" s="382"/>
      <c r="Q361" s="382"/>
      <c r="R361" s="382"/>
      <c r="S361" s="382"/>
      <c r="T361" s="382"/>
      <c r="U361" s="382"/>
      <c r="V361" s="382"/>
      <c r="W361" s="382"/>
      <c r="X361" s="382"/>
      <c r="Y361" s="382"/>
      <c r="Z361" s="382"/>
      <c r="AA361" s="382"/>
      <c r="AB361" s="382"/>
      <c r="AC361" s="382"/>
      <c r="AD361" s="382"/>
      <c r="AE361" s="382"/>
      <c r="AF361" s="382"/>
      <c r="AG361" s="382"/>
      <c r="AH361" s="382"/>
      <c r="AI361" s="382"/>
      <c r="AJ361" s="382"/>
      <c r="AK361" s="382"/>
      <c r="AL361" s="382"/>
      <c r="AM361" s="382"/>
    </row>
    <row r="362" spans="2:39" ht="27.75" customHeight="1">
      <c r="B362" s="382"/>
      <c r="C362" s="382"/>
      <c r="D362" s="382"/>
      <c r="E362" s="382"/>
      <c r="F362" s="382"/>
      <c r="G362" s="382"/>
      <c r="H362" s="382"/>
      <c r="I362" s="382"/>
      <c r="J362" s="382"/>
      <c r="K362" s="382"/>
      <c r="L362" s="382"/>
      <c r="M362" s="382"/>
      <c r="N362" s="382"/>
      <c r="O362" s="382"/>
      <c r="P362" s="382"/>
      <c r="Q362" s="382"/>
      <c r="R362" s="382"/>
      <c r="S362" s="382"/>
      <c r="T362" s="382"/>
      <c r="U362" s="382"/>
      <c r="V362" s="382"/>
      <c r="W362" s="382"/>
      <c r="X362" s="382"/>
      <c r="Y362" s="382"/>
      <c r="Z362" s="382"/>
      <c r="AA362" s="382"/>
      <c r="AB362" s="382"/>
      <c r="AC362" s="382"/>
      <c r="AD362" s="382"/>
      <c r="AE362" s="382"/>
      <c r="AF362" s="382"/>
      <c r="AG362" s="382"/>
      <c r="AH362" s="382"/>
      <c r="AI362" s="382"/>
      <c r="AJ362" s="382"/>
      <c r="AK362" s="382"/>
      <c r="AL362" s="382"/>
      <c r="AM362" s="382"/>
    </row>
    <row r="363" spans="2:39" ht="27.75" customHeight="1">
      <c r="B363" s="382"/>
      <c r="C363" s="382"/>
      <c r="D363" s="382"/>
      <c r="E363" s="382"/>
      <c r="F363" s="382"/>
      <c r="G363" s="382"/>
      <c r="H363" s="382"/>
      <c r="I363" s="382"/>
      <c r="J363" s="382"/>
      <c r="K363" s="382"/>
      <c r="L363" s="382"/>
      <c r="M363" s="382"/>
      <c r="N363" s="382"/>
      <c r="O363" s="382"/>
      <c r="P363" s="382"/>
      <c r="Q363" s="382"/>
      <c r="R363" s="382"/>
      <c r="S363" s="382"/>
      <c r="T363" s="382"/>
      <c r="U363" s="382"/>
      <c r="V363" s="382"/>
      <c r="W363" s="382"/>
      <c r="X363" s="382"/>
      <c r="Y363" s="382"/>
      <c r="Z363" s="382"/>
      <c r="AA363" s="382"/>
      <c r="AB363" s="382"/>
      <c r="AC363" s="382"/>
      <c r="AD363" s="382"/>
      <c r="AE363" s="382"/>
      <c r="AF363" s="382"/>
      <c r="AG363" s="382"/>
      <c r="AH363" s="382"/>
      <c r="AI363" s="382"/>
      <c r="AJ363" s="382"/>
      <c r="AK363" s="382"/>
      <c r="AL363" s="382"/>
      <c r="AM363" s="382"/>
    </row>
    <row r="364" spans="2:39" ht="27.75" customHeight="1">
      <c r="B364" s="382"/>
      <c r="C364" s="382"/>
      <c r="D364" s="382"/>
      <c r="E364" s="382"/>
      <c r="F364" s="382"/>
      <c r="G364" s="382"/>
      <c r="H364" s="382"/>
      <c r="I364" s="382"/>
      <c r="J364" s="382"/>
      <c r="K364" s="382"/>
      <c r="L364" s="382"/>
      <c r="M364" s="382"/>
      <c r="N364" s="382"/>
      <c r="O364" s="382"/>
      <c r="P364" s="382"/>
      <c r="Q364" s="382"/>
      <c r="R364" s="382"/>
      <c r="S364" s="382"/>
      <c r="T364" s="382"/>
      <c r="U364" s="382"/>
      <c r="V364" s="382"/>
      <c r="W364" s="382"/>
      <c r="X364" s="382"/>
      <c r="Y364" s="382"/>
      <c r="Z364" s="382"/>
      <c r="AA364" s="382"/>
      <c r="AB364" s="382"/>
      <c r="AC364" s="382"/>
      <c r="AD364" s="382"/>
      <c r="AE364" s="382"/>
      <c r="AF364" s="382"/>
      <c r="AG364" s="382"/>
      <c r="AH364" s="382"/>
      <c r="AI364" s="382"/>
      <c r="AJ364" s="382"/>
      <c r="AK364" s="382"/>
      <c r="AL364" s="382"/>
      <c r="AM364" s="382"/>
    </row>
    <row r="365" spans="2:39" ht="27.75" customHeight="1">
      <c r="B365" s="382"/>
      <c r="C365" s="382"/>
      <c r="D365" s="382"/>
      <c r="E365" s="382"/>
      <c r="F365" s="382"/>
      <c r="G365" s="382"/>
      <c r="H365" s="382"/>
      <c r="I365" s="382"/>
      <c r="J365" s="382"/>
      <c r="K365" s="382"/>
      <c r="L365" s="382"/>
      <c r="M365" s="382"/>
      <c r="N365" s="382"/>
      <c r="O365" s="382"/>
      <c r="P365" s="382"/>
      <c r="Q365" s="382"/>
      <c r="R365" s="382"/>
      <c r="S365" s="382"/>
      <c r="T365" s="382"/>
      <c r="U365" s="382"/>
      <c r="V365" s="382"/>
      <c r="W365" s="382"/>
      <c r="X365" s="382"/>
      <c r="Y365" s="382"/>
      <c r="Z365" s="382"/>
      <c r="AA365" s="382"/>
      <c r="AB365" s="382"/>
      <c r="AC365" s="382"/>
      <c r="AD365" s="382"/>
      <c r="AE365" s="382"/>
      <c r="AF365" s="382"/>
      <c r="AG365" s="382"/>
      <c r="AH365" s="382"/>
      <c r="AI365" s="382"/>
      <c r="AJ365" s="382"/>
      <c r="AK365" s="382"/>
      <c r="AL365" s="382"/>
      <c r="AM365" s="382"/>
    </row>
    <row r="366" spans="2:39" ht="27.75" customHeight="1">
      <c r="B366" s="382"/>
      <c r="C366" s="382"/>
      <c r="D366" s="382"/>
      <c r="E366" s="382"/>
      <c r="F366" s="382"/>
      <c r="G366" s="382"/>
      <c r="H366" s="382"/>
      <c r="I366" s="382"/>
      <c r="J366" s="382"/>
      <c r="K366" s="382"/>
      <c r="L366" s="382"/>
      <c r="M366" s="382"/>
      <c r="N366" s="382"/>
      <c r="O366" s="382"/>
      <c r="P366" s="382"/>
      <c r="Q366" s="382"/>
      <c r="R366" s="382"/>
      <c r="S366" s="382"/>
      <c r="T366" s="382"/>
      <c r="U366" s="382"/>
      <c r="V366" s="382"/>
      <c r="W366" s="382"/>
      <c r="X366" s="382"/>
      <c r="Y366" s="382"/>
      <c r="Z366" s="382"/>
      <c r="AA366" s="382"/>
      <c r="AB366" s="382"/>
      <c r="AC366" s="382"/>
      <c r="AD366" s="382"/>
      <c r="AE366" s="382"/>
      <c r="AF366" s="382"/>
      <c r="AG366" s="382"/>
      <c r="AH366" s="382"/>
      <c r="AI366" s="382"/>
      <c r="AJ366" s="382"/>
      <c r="AK366" s="382"/>
      <c r="AL366" s="382"/>
      <c r="AM366" s="382"/>
    </row>
    <row r="367" spans="2:39" ht="27.75" customHeight="1">
      <c r="B367" s="382"/>
      <c r="C367" s="382"/>
      <c r="D367" s="382"/>
      <c r="E367" s="382"/>
      <c r="F367" s="382"/>
      <c r="G367" s="382"/>
      <c r="H367" s="382"/>
      <c r="I367" s="382"/>
      <c r="J367" s="382"/>
      <c r="K367" s="382"/>
      <c r="L367" s="382"/>
      <c r="M367" s="382"/>
      <c r="N367" s="382"/>
      <c r="O367" s="382"/>
      <c r="P367" s="382"/>
      <c r="Q367" s="382"/>
      <c r="R367" s="382"/>
      <c r="S367" s="382"/>
      <c r="T367" s="382"/>
      <c r="U367" s="382"/>
      <c r="V367" s="382"/>
      <c r="W367" s="382"/>
      <c r="X367" s="382"/>
      <c r="Y367" s="382"/>
      <c r="Z367" s="382"/>
      <c r="AA367" s="382"/>
      <c r="AB367" s="382"/>
      <c r="AC367" s="382"/>
      <c r="AD367" s="382"/>
      <c r="AE367" s="382"/>
      <c r="AF367" s="382"/>
      <c r="AG367" s="382"/>
      <c r="AH367" s="382"/>
      <c r="AI367" s="382"/>
      <c r="AJ367" s="382"/>
      <c r="AK367" s="382"/>
      <c r="AL367" s="382"/>
      <c r="AM367" s="382"/>
    </row>
    <row r="368" spans="2:39" ht="27.75" customHeight="1">
      <c r="B368" s="382"/>
      <c r="C368" s="382"/>
      <c r="D368" s="382"/>
      <c r="E368" s="382"/>
      <c r="F368" s="382"/>
      <c r="G368" s="382"/>
      <c r="H368" s="382"/>
      <c r="I368" s="382"/>
      <c r="J368" s="382"/>
      <c r="K368" s="382"/>
      <c r="L368" s="382"/>
      <c r="M368" s="382"/>
      <c r="N368" s="382"/>
      <c r="O368" s="382"/>
      <c r="P368" s="382"/>
      <c r="Q368" s="382"/>
      <c r="R368" s="382"/>
      <c r="S368" s="382"/>
      <c r="T368" s="382"/>
      <c r="U368" s="382"/>
      <c r="V368" s="382"/>
      <c r="W368" s="382"/>
      <c r="X368" s="382"/>
      <c r="Y368" s="382"/>
      <c r="Z368" s="382"/>
      <c r="AA368" s="382"/>
      <c r="AB368" s="382"/>
      <c r="AC368" s="382"/>
      <c r="AD368" s="382"/>
      <c r="AE368" s="382"/>
      <c r="AF368" s="382"/>
      <c r="AG368" s="382"/>
      <c r="AH368" s="382"/>
      <c r="AI368" s="382"/>
      <c r="AJ368" s="382"/>
      <c r="AK368" s="382"/>
      <c r="AL368" s="382"/>
      <c r="AM368" s="382"/>
    </row>
    <row r="369" spans="2:39" ht="27.75" customHeight="1">
      <c r="B369" s="382"/>
      <c r="C369" s="382"/>
      <c r="D369" s="382"/>
      <c r="E369" s="382"/>
      <c r="F369" s="382"/>
      <c r="G369" s="382"/>
      <c r="H369" s="382"/>
      <c r="I369" s="382"/>
      <c r="J369" s="382"/>
      <c r="K369" s="382"/>
      <c r="L369" s="382"/>
      <c r="M369" s="382"/>
      <c r="N369" s="382"/>
      <c r="O369" s="382"/>
      <c r="P369" s="382"/>
      <c r="Q369" s="382"/>
      <c r="R369" s="382"/>
      <c r="S369" s="382"/>
      <c r="T369" s="382"/>
      <c r="U369" s="382"/>
      <c r="V369" s="382"/>
      <c r="W369" s="382"/>
      <c r="X369" s="382"/>
      <c r="Y369" s="382"/>
      <c r="Z369" s="382"/>
      <c r="AA369" s="382"/>
      <c r="AB369" s="382"/>
      <c r="AC369" s="382"/>
      <c r="AD369" s="382"/>
      <c r="AE369" s="382"/>
      <c r="AF369" s="382"/>
      <c r="AG369" s="382"/>
      <c r="AH369" s="382"/>
      <c r="AI369" s="382"/>
      <c r="AJ369" s="382"/>
      <c r="AK369" s="382"/>
      <c r="AL369" s="382"/>
      <c r="AM369" s="382"/>
    </row>
    <row r="370" spans="2:39" ht="27.75" customHeight="1">
      <c r="B370" s="382"/>
      <c r="C370" s="382"/>
      <c r="D370" s="382"/>
      <c r="E370" s="382"/>
      <c r="F370" s="382"/>
      <c r="G370" s="382"/>
      <c r="H370" s="382"/>
      <c r="I370" s="382"/>
      <c r="J370" s="382"/>
      <c r="K370" s="382"/>
      <c r="L370" s="382"/>
      <c r="M370" s="382"/>
      <c r="N370" s="382"/>
      <c r="O370" s="382"/>
      <c r="P370" s="382"/>
      <c r="Q370" s="382"/>
      <c r="R370" s="382"/>
      <c r="S370" s="382"/>
      <c r="T370" s="382"/>
      <c r="U370" s="382"/>
      <c r="V370" s="382"/>
      <c r="W370" s="382"/>
      <c r="X370" s="382"/>
      <c r="Y370" s="382"/>
      <c r="Z370" s="382"/>
      <c r="AA370" s="382"/>
      <c r="AB370" s="382"/>
      <c r="AC370" s="382"/>
      <c r="AD370" s="382"/>
      <c r="AE370" s="382"/>
      <c r="AF370" s="382"/>
      <c r="AG370" s="382"/>
      <c r="AH370" s="382"/>
      <c r="AI370" s="382"/>
      <c r="AJ370" s="382"/>
      <c r="AK370" s="382"/>
      <c r="AL370" s="382"/>
      <c r="AM370" s="382"/>
    </row>
    <row r="371" spans="2:39" ht="27.75" customHeight="1">
      <c r="B371" s="382"/>
      <c r="C371" s="382"/>
      <c r="D371" s="382"/>
      <c r="E371" s="382"/>
      <c r="F371" s="382"/>
      <c r="G371" s="382"/>
      <c r="H371" s="382"/>
      <c r="I371" s="382"/>
      <c r="J371" s="382"/>
      <c r="K371" s="382"/>
      <c r="L371" s="382"/>
      <c r="M371" s="382"/>
      <c r="N371" s="382"/>
      <c r="O371" s="382"/>
      <c r="P371" s="382"/>
      <c r="Q371" s="382"/>
      <c r="R371" s="382"/>
      <c r="S371" s="382"/>
      <c r="T371" s="382"/>
      <c r="U371" s="382"/>
      <c r="V371" s="382"/>
      <c r="W371" s="382"/>
      <c r="X371" s="382"/>
      <c r="Y371" s="382"/>
      <c r="Z371" s="382"/>
      <c r="AA371" s="382"/>
      <c r="AB371" s="382"/>
      <c r="AC371" s="382"/>
      <c r="AD371" s="382"/>
      <c r="AE371" s="382"/>
      <c r="AF371" s="382"/>
      <c r="AG371" s="382"/>
      <c r="AH371" s="382"/>
      <c r="AI371" s="382"/>
      <c r="AJ371" s="382"/>
      <c r="AK371" s="382"/>
      <c r="AL371" s="382"/>
      <c r="AM371" s="382"/>
    </row>
    <row r="372" spans="2:39" ht="27.75" customHeight="1">
      <c r="B372" s="382"/>
      <c r="C372" s="382"/>
      <c r="D372" s="382"/>
      <c r="E372" s="382"/>
      <c r="F372" s="382"/>
      <c r="G372" s="382"/>
      <c r="H372" s="382"/>
      <c r="I372" s="382"/>
      <c r="J372" s="382"/>
      <c r="K372" s="382"/>
      <c r="L372" s="382"/>
      <c r="M372" s="382"/>
      <c r="N372" s="382"/>
      <c r="O372" s="382"/>
      <c r="P372" s="382"/>
      <c r="Q372" s="382"/>
      <c r="R372" s="382"/>
      <c r="S372" s="382"/>
      <c r="T372" s="382"/>
      <c r="U372" s="382"/>
      <c r="V372" s="382"/>
      <c r="W372" s="382"/>
      <c r="X372" s="382"/>
      <c r="Y372" s="382"/>
      <c r="Z372" s="382"/>
      <c r="AA372" s="382"/>
      <c r="AB372" s="382"/>
      <c r="AC372" s="382"/>
      <c r="AD372" s="382"/>
      <c r="AE372" s="382"/>
      <c r="AF372" s="382"/>
      <c r="AG372" s="382"/>
      <c r="AH372" s="382"/>
      <c r="AI372" s="382"/>
      <c r="AJ372" s="382"/>
      <c r="AK372" s="382"/>
      <c r="AL372" s="382"/>
      <c r="AM372" s="382"/>
    </row>
    <row r="373" spans="2:39" ht="27.75" customHeight="1">
      <c r="B373" s="382"/>
      <c r="C373" s="382"/>
      <c r="D373" s="382"/>
      <c r="E373" s="382"/>
      <c r="F373" s="382"/>
      <c r="G373" s="382"/>
      <c r="H373" s="382"/>
      <c r="I373" s="382"/>
      <c r="J373" s="382"/>
      <c r="K373" s="382"/>
      <c r="L373" s="382"/>
      <c r="M373" s="382"/>
      <c r="N373" s="382"/>
      <c r="O373" s="382"/>
      <c r="P373" s="382"/>
      <c r="Q373" s="382"/>
      <c r="R373" s="382"/>
      <c r="S373" s="382"/>
      <c r="T373" s="382"/>
      <c r="U373" s="382"/>
      <c r="V373" s="382"/>
      <c r="W373" s="382"/>
      <c r="X373" s="382"/>
      <c r="Y373" s="382"/>
      <c r="Z373" s="382"/>
      <c r="AA373" s="382"/>
      <c r="AB373" s="382"/>
      <c r="AC373" s="382"/>
      <c r="AD373" s="382"/>
      <c r="AE373" s="382"/>
      <c r="AF373" s="382"/>
      <c r="AG373" s="382"/>
      <c r="AH373" s="382"/>
      <c r="AI373" s="382"/>
      <c r="AJ373" s="382"/>
      <c r="AK373" s="382"/>
      <c r="AL373" s="382"/>
      <c r="AM373" s="382"/>
    </row>
    <row r="374" spans="2:39" ht="27.75" customHeight="1">
      <c r="B374" s="382"/>
      <c r="C374" s="382"/>
      <c r="D374" s="382"/>
      <c r="E374" s="382"/>
      <c r="F374" s="382"/>
      <c r="G374" s="382"/>
      <c r="H374" s="382"/>
      <c r="I374" s="382"/>
      <c r="J374" s="382"/>
      <c r="K374" s="382"/>
      <c r="L374" s="382"/>
      <c r="M374" s="382"/>
      <c r="N374" s="382"/>
      <c r="O374" s="382"/>
      <c r="P374" s="382"/>
      <c r="Q374" s="382"/>
      <c r="R374" s="382"/>
      <c r="S374" s="382"/>
      <c r="T374" s="382"/>
      <c r="U374" s="382"/>
      <c r="V374" s="382"/>
      <c r="W374" s="382"/>
      <c r="X374" s="382"/>
      <c r="Y374" s="382"/>
      <c r="Z374" s="382"/>
      <c r="AA374" s="382"/>
      <c r="AB374" s="382"/>
      <c r="AC374" s="382"/>
      <c r="AD374" s="382"/>
      <c r="AE374" s="382"/>
      <c r="AF374" s="382"/>
      <c r="AG374" s="382"/>
      <c r="AH374" s="382"/>
      <c r="AI374" s="382"/>
      <c r="AJ374" s="382"/>
      <c r="AK374" s="382"/>
      <c r="AL374" s="382"/>
      <c r="AM374" s="382"/>
    </row>
    <row r="375" spans="2:39" ht="27.75" customHeight="1">
      <c r="B375" s="382"/>
      <c r="C375" s="382"/>
      <c r="D375" s="382"/>
      <c r="E375" s="382"/>
      <c r="F375" s="382"/>
      <c r="G375" s="382"/>
      <c r="H375" s="382"/>
      <c r="I375" s="382"/>
      <c r="J375" s="382"/>
      <c r="K375" s="382"/>
      <c r="L375" s="382"/>
      <c r="M375" s="382"/>
      <c r="N375" s="382"/>
      <c r="O375" s="382"/>
      <c r="P375" s="382"/>
      <c r="Q375" s="382"/>
      <c r="R375" s="382"/>
      <c r="S375" s="382"/>
      <c r="T375" s="382"/>
      <c r="U375" s="382"/>
      <c r="V375" s="382"/>
      <c r="W375" s="382"/>
      <c r="X375" s="382"/>
      <c r="Y375" s="382"/>
      <c r="Z375" s="382"/>
      <c r="AA375" s="382"/>
      <c r="AB375" s="382"/>
      <c r="AC375" s="382"/>
      <c r="AD375" s="382"/>
      <c r="AE375" s="382"/>
      <c r="AF375" s="382"/>
      <c r="AG375" s="382"/>
      <c r="AH375" s="382"/>
      <c r="AI375" s="382"/>
      <c r="AJ375" s="382"/>
      <c r="AK375" s="382"/>
      <c r="AL375" s="382"/>
      <c r="AM375" s="382"/>
    </row>
    <row r="376" spans="2:39" ht="27.75" customHeight="1">
      <c r="B376" s="382"/>
      <c r="C376" s="382"/>
      <c r="D376" s="382"/>
      <c r="E376" s="382"/>
      <c r="F376" s="382"/>
      <c r="G376" s="382"/>
      <c r="H376" s="382"/>
      <c r="I376" s="382"/>
      <c r="J376" s="382"/>
      <c r="K376" s="382"/>
      <c r="L376" s="382"/>
      <c r="M376" s="382"/>
      <c r="N376" s="382"/>
      <c r="O376" s="382"/>
      <c r="P376" s="382"/>
      <c r="Q376" s="382"/>
      <c r="R376" s="382"/>
      <c r="S376" s="382"/>
      <c r="T376" s="382"/>
      <c r="U376" s="382"/>
      <c r="V376" s="382"/>
      <c r="W376" s="382"/>
      <c r="X376" s="382"/>
      <c r="Y376" s="382"/>
      <c r="Z376" s="382"/>
      <c r="AA376" s="382"/>
      <c r="AB376" s="382"/>
      <c r="AC376" s="382"/>
      <c r="AD376" s="382"/>
      <c r="AE376" s="382"/>
      <c r="AF376" s="382"/>
      <c r="AG376" s="382"/>
      <c r="AH376" s="382"/>
      <c r="AI376" s="382"/>
      <c r="AJ376" s="382"/>
      <c r="AK376" s="382"/>
      <c r="AL376" s="382"/>
      <c r="AM376" s="382"/>
    </row>
    <row r="377" spans="2:39" ht="27.75" customHeight="1">
      <c r="B377" s="382"/>
      <c r="C377" s="382"/>
      <c r="D377" s="382"/>
      <c r="E377" s="382"/>
      <c r="F377" s="382"/>
      <c r="G377" s="382"/>
      <c r="H377" s="382"/>
      <c r="I377" s="382"/>
      <c r="J377" s="382"/>
      <c r="K377" s="382"/>
      <c r="L377" s="382"/>
      <c r="M377" s="382"/>
      <c r="N377" s="382"/>
      <c r="O377" s="382"/>
      <c r="P377" s="382"/>
      <c r="Q377" s="382"/>
      <c r="R377" s="382"/>
      <c r="S377" s="382"/>
      <c r="T377" s="382"/>
      <c r="U377" s="382"/>
      <c r="V377" s="382"/>
      <c r="W377" s="382"/>
      <c r="X377" s="382"/>
      <c r="Y377" s="382"/>
      <c r="Z377" s="382"/>
      <c r="AA377" s="382"/>
      <c r="AB377" s="382"/>
      <c r="AC377" s="382"/>
      <c r="AD377" s="382"/>
      <c r="AE377" s="382"/>
      <c r="AF377" s="382"/>
      <c r="AG377" s="382"/>
      <c r="AH377" s="382"/>
      <c r="AI377" s="382"/>
      <c r="AJ377" s="382"/>
      <c r="AK377" s="382"/>
      <c r="AL377" s="382"/>
      <c r="AM377" s="382"/>
    </row>
    <row r="378" spans="2:39" ht="27.75" customHeight="1">
      <c r="B378" s="382"/>
      <c r="C378" s="382"/>
      <c r="D378" s="382"/>
      <c r="E378" s="382"/>
      <c r="F378" s="382"/>
      <c r="G378" s="382"/>
      <c r="H378" s="382"/>
      <c r="I378" s="382"/>
      <c r="J378" s="382"/>
      <c r="K378" s="382"/>
      <c r="L378" s="382"/>
      <c r="M378" s="382"/>
      <c r="N378" s="382"/>
      <c r="O378" s="382"/>
      <c r="P378" s="382"/>
      <c r="Q378" s="382"/>
      <c r="R378" s="382"/>
      <c r="S378" s="382"/>
      <c r="T378" s="382"/>
      <c r="U378" s="382"/>
      <c r="V378" s="382"/>
      <c r="W378" s="382"/>
      <c r="X378" s="382"/>
      <c r="Y378" s="382"/>
      <c r="Z378" s="382"/>
      <c r="AA378" s="382"/>
      <c r="AB378" s="382"/>
      <c r="AC378" s="382"/>
      <c r="AD378" s="382"/>
      <c r="AE378" s="382"/>
      <c r="AF378" s="382"/>
      <c r="AG378" s="382"/>
      <c r="AH378" s="382"/>
      <c r="AI378" s="382"/>
      <c r="AJ378" s="382"/>
      <c r="AK378" s="382"/>
      <c r="AL378" s="382"/>
      <c r="AM378" s="382"/>
    </row>
    <row r="379" spans="2:39" ht="27.75" customHeight="1">
      <c r="B379" s="382"/>
      <c r="C379" s="382"/>
      <c r="D379" s="382"/>
      <c r="E379" s="382"/>
      <c r="F379" s="382"/>
      <c r="G379" s="382"/>
      <c r="H379" s="382"/>
      <c r="I379" s="382"/>
      <c r="J379" s="382"/>
      <c r="K379" s="382"/>
      <c r="L379" s="382"/>
      <c r="M379" s="382"/>
      <c r="N379" s="382"/>
      <c r="O379" s="382"/>
      <c r="P379" s="382"/>
      <c r="Q379" s="382"/>
      <c r="R379" s="382"/>
      <c r="S379" s="382"/>
      <c r="T379" s="382"/>
      <c r="U379" s="382"/>
      <c r="V379" s="382"/>
      <c r="W379" s="382"/>
      <c r="X379" s="382"/>
      <c r="Y379" s="382"/>
      <c r="Z379" s="382"/>
      <c r="AA379" s="382"/>
      <c r="AB379" s="382"/>
      <c r="AC379" s="382"/>
      <c r="AD379" s="382"/>
      <c r="AE379" s="382"/>
      <c r="AF379" s="382"/>
      <c r="AG379" s="382"/>
      <c r="AH379" s="382"/>
      <c r="AI379" s="382"/>
      <c r="AJ379" s="382"/>
      <c r="AK379" s="382"/>
      <c r="AL379" s="382"/>
      <c r="AM379" s="382"/>
    </row>
    <row r="380" spans="2:39" ht="27.75" customHeight="1">
      <c r="B380" s="382"/>
      <c r="C380" s="382"/>
      <c r="D380" s="382"/>
      <c r="E380" s="382"/>
      <c r="F380" s="382"/>
      <c r="G380" s="382"/>
      <c r="H380" s="382"/>
      <c r="I380" s="382"/>
      <c r="J380" s="382"/>
      <c r="K380" s="382"/>
      <c r="L380" s="382"/>
      <c r="M380" s="382"/>
      <c r="N380" s="382"/>
      <c r="O380" s="382"/>
      <c r="P380" s="382"/>
      <c r="Q380" s="382"/>
      <c r="R380" s="382"/>
      <c r="S380" s="382"/>
      <c r="T380" s="382"/>
      <c r="U380" s="382"/>
      <c r="V380" s="382"/>
      <c r="W380" s="382"/>
      <c r="X380" s="382"/>
      <c r="Y380" s="382"/>
      <c r="Z380" s="382"/>
      <c r="AA380" s="382"/>
      <c r="AB380" s="382"/>
      <c r="AC380" s="382"/>
      <c r="AD380" s="382"/>
      <c r="AE380" s="382"/>
      <c r="AF380" s="382"/>
      <c r="AG380" s="382"/>
      <c r="AH380" s="382"/>
      <c r="AI380" s="382"/>
      <c r="AJ380" s="382"/>
      <c r="AK380" s="382"/>
      <c r="AL380" s="382"/>
      <c r="AM380" s="382"/>
    </row>
    <row r="381" spans="2:39" ht="27.75" customHeight="1">
      <c r="B381" s="382"/>
      <c r="C381" s="382"/>
      <c r="D381" s="382"/>
      <c r="E381" s="382"/>
      <c r="F381" s="382"/>
      <c r="G381" s="382"/>
      <c r="H381" s="382"/>
      <c r="I381" s="382"/>
      <c r="J381" s="382"/>
      <c r="K381" s="382"/>
      <c r="L381" s="382"/>
      <c r="M381" s="382"/>
      <c r="N381" s="382"/>
      <c r="O381" s="382"/>
      <c r="P381" s="382"/>
      <c r="Q381" s="382"/>
      <c r="R381" s="382"/>
      <c r="S381" s="382"/>
      <c r="T381" s="382"/>
      <c r="U381" s="382"/>
      <c r="V381" s="382"/>
      <c r="W381" s="382"/>
      <c r="X381" s="382"/>
      <c r="Y381" s="382"/>
      <c r="Z381" s="382"/>
      <c r="AA381" s="382"/>
      <c r="AB381" s="382"/>
      <c r="AC381" s="382"/>
      <c r="AD381" s="382"/>
      <c r="AE381" s="382"/>
      <c r="AF381" s="382"/>
      <c r="AG381" s="382"/>
      <c r="AH381" s="382"/>
      <c r="AI381" s="382"/>
      <c r="AJ381" s="382"/>
      <c r="AK381" s="382"/>
      <c r="AL381" s="382"/>
      <c r="AM381" s="382"/>
    </row>
    <row r="382" spans="2:39" ht="27.75" customHeight="1">
      <c r="B382" s="382"/>
      <c r="C382" s="382"/>
      <c r="D382" s="382"/>
      <c r="E382" s="382"/>
      <c r="F382" s="382"/>
      <c r="G382" s="382"/>
      <c r="H382" s="382"/>
      <c r="I382" s="382"/>
      <c r="J382" s="382"/>
      <c r="K382" s="382"/>
      <c r="L382" s="382"/>
      <c r="M382" s="382"/>
      <c r="N382" s="382"/>
      <c r="O382" s="382"/>
      <c r="P382" s="382"/>
      <c r="Q382" s="382"/>
      <c r="R382" s="382"/>
      <c r="S382" s="382"/>
      <c r="T382" s="382"/>
      <c r="U382" s="382"/>
      <c r="V382" s="382"/>
      <c r="W382" s="382"/>
      <c r="X382" s="382"/>
      <c r="Y382" s="382"/>
      <c r="Z382" s="382"/>
      <c r="AA382" s="382"/>
      <c r="AB382" s="382"/>
      <c r="AC382" s="382"/>
      <c r="AD382" s="382"/>
      <c r="AE382" s="382"/>
      <c r="AF382" s="382"/>
      <c r="AG382" s="382"/>
      <c r="AH382" s="382"/>
      <c r="AI382" s="382"/>
      <c r="AJ382" s="382"/>
      <c r="AK382" s="382"/>
      <c r="AL382" s="382"/>
      <c r="AM382" s="382"/>
    </row>
    <row r="383" spans="2:39" ht="27.75" customHeight="1">
      <c r="B383" s="382"/>
      <c r="C383" s="382"/>
      <c r="D383" s="382"/>
      <c r="E383" s="382"/>
      <c r="F383" s="382"/>
      <c r="G383" s="382"/>
      <c r="H383" s="382"/>
      <c r="I383" s="382"/>
      <c r="J383" s="382"/>
      <c r="K383" s="382"/>
      <c r="L383" s="382"/>
      <c r="M383" s="382"/>
      <c r="N383" s="382"/>
      <c r="O383" s="382"/>
      <c r="P383" s="382"/>
      <c r="Q383" s="382"/>
      <c r="R383" s="382"/>
      <c r="S383" s="382"/>
      <c r="T383" s="382"/>
      <c r="U383" s="382"/>
      <c r="V383" s="382"/>
      <c r="W383" s="382"/>
      <c r="X383" s="382"/>
      <c r="Y383" s="382"/>
      <c r="Z383" s="382"/>
      <c r="AA383" s="382"/>
      <c r="AB383" s="382"/>
      <c r="AC383" s="382"/>
      <c r="AD383" s="382"/>
      <c r="AE383" s="382"/>
      <c r="AF383" s="382"/>
      <c r="AG383" s="382"/>
      <c r="AH383" s="382"/>
      <c r="AI383" s="382"/>
      <c r="AJ383" s="382"/>
      <c r="AK383" s="382"/>
      <c r="AL383" s="382"/>
      <c r="AM383" s="382"/>
    </row>
    <row r="384" spans="2:39" ht="27.75" customHeight="1">
      <c r="B384" s="382"/>
      <c r="C384" s="382"/>
      <c r="D384" s="382"/>
      <c r="E384" s="382"/>
      <c r="F384" s="382"/>
      <c r="G384" s="382"/>
      <c r="H384" s="382"/>
      <c r="I384" s="382"/>
      <c r="J384" s="382"/>
      <c r="K384" s="382"/>
      <c r="L384" s="382"/>
      <c r="M384" s="382"/>
      <c r="N384" s="382"/>
      <c r="O384" s="382"/>
      <c r="P384" s="382"/>
      <c r="Q384" s="382"/>
      <c r="R384" s="382"/>
      <c r="S384" s="382"/>
      <c r="T384" s="382"/>
      <c r="U384" s="382"/>
      <c r="V384" s="382"/>
      <c r="W384" s="382"/>
      <c r="X384" s="382"/>
      <c r="Y384" s="382"/>
      <c r="Z384" s="382"/>
      <c r="AA384" s="382"/>
      <c r="AB384" s="382"/>
      <c r="AC384" s="382"/>
      <c r="AD384" s="382"/>
      <c r="AE384" s="382"/>
      <c r="AF384" s="382"/>
      <c r="AG384" s="382"/>
      <c r="AH384" s="382"/>
      <c r="AI384" s="382"/>
      <c r="AJ384" s="382"/>
      <c r="AK384" s="382"/>
      <c r="AL384" s="382"/>
      <c r="AM384" s="382"/>
    </row>
    <row r="385" spans="2:39" ht="27.75" customHeight="1">
      <c r="B385" s="382"/>
      <c r="C385" s="382"/>
      <c r="D385" s="382"/>
      <c r="E385" s="382"/>
      <c r="F385" s="382"/>
      <c r="G385" s="382"/>
      <c r="H385" s="382"/>
      <c r="I385" s="382"/>
      <c r="J385" s="382"/>
      <c r="K385" s="382"/>
      <c r="L385" s="382"/>
      <c r="M385" s="382"/>
      <c r="N385" s="382"/>
      <c r="O385" s="382"/>
      <c r="P385" s="382"/>
      <c r="Q385" s="382"/>
      <c r="R385" s="382"/>
      <c r="S385" s="382"/>
      <c r="T385" s="382"/>
      <c r="U385" s="382"/>
      <c r="V385" s="382"/>
      <c r="W385" s="382"/>
      <c r="X385" s="382"/>
      <c r="Y385" s="382"/>
      <c r="Z385" s="382"/>
      <c r="AA385" s="382"/>
      <c r="AB385" s="382"/>
      <c r="AC385" s="382"/>
      <c r="AD385" s="382"/>
      <c r="AE385" s="382"/>
      <c r="AF385" s="382"/>
      <c r="AG385" s="382"/>
      <c r="AH385" s="382"/>
      <c r="AI385" s="382"/>
      <c r="AJ385" s="382"/>
      <c r="AK385" s="382"/>
      <c r="AL385" s="382"/>
      <c r="AM385" s="382"/>
    </row>
    <row r="386" spans="2:39" ht="27.75" customHeight="1">
      <c r="B386" s="382"/>
      <c r="C386" s="382"/>
      <c r="D386" s="382"/>
      <c r="E386" s="382"/>
      <c r="F386" s="382"/>
      <c r="G386" s="382"/>
      <c r="H386" s="382"/>
      <c r="I386" s="382"/>
      <c r="J386" s="382"/>
      <c r="K386" s="382"/>
      <c r="L386" s="382"/>
      <c r="M386" s="382"/>
      <c r="N386" s="382"/>
      <c r="O386" s="382"/>
      <c r="P386" s="382"/>
      <c r="Q386" s="382"/>
      <c r="R386" s="382"/>
      <c r="S386" s="382"/>
      <c r="T386" s="382"/>
      <c r="U386" s="382"/>
      <c r="V386" s="382"/>
      <c r="W386" s="382"/>
      <c r="X386" s="382"/>
      <c r="Y386" s="382"/>
      <c r="Z386" s="382"/>
      <c r="AA386" s="382"/>
      <c r="AB386" s="382"/>
      <c r="AC386" s="382"/>
      <c r="AD386" s="382"/>
      <c r="AE386" s="382"/>
      <c r="AF386" s="382"/>
      <c r="AG386" s="382"/>
      <c r="AH386" s="382"/>
      <c r="AI386" s="382"/>
      <c r="AJ386" s="382"/>
      <c r="AK386" s="382"/>
      <c r="AL386" s="382"/>
      <c r="AM386" s="382"/>
    </row>
    <row r="387" spans="2:39" ht="27.75" customHeight="1">
      <c r="B387" s="382"/>
      <c r="C387" s="382"/>
      <c r="D387" s="382"/>
      <c r="E387" s="382"/>
      <c r="F387" s="382"/>
      <c r="G387" s="382"/>
      <c r="H387" s="382"/>
      <c r="I387" s="382"/>
      <c r="J387" s="382"/>
      <c r="K387" s="382"/>
      <c r="L387" s="382"/>
      <c r="M387" s="382"/>
      <c r="N387" s="382"/>
      <c r="O387" s="382"/>
      <c r="P387" s="382"/>
      <c r="Q387" s="382"/>
      <c r="R387" s="382"/>
      <c r="S387" s="382"/>
      <c r="T387" s="382"/>
      <c r="U387" s="382"/>
      <c r="V387" s="382"/>
      <c r="W387" s="382"/>
      <c r="X387" s="382"/>
      <c r="Y387" s="382"/>
      <c r="Z387" s="382"/>
      <c r="AA387" s="382"/>
      <c r="AB387" s="382"/>
      <c r="AC387" s="382"/>
      <c r="AD387" s="382"/>
      <c r="AE387" s="382"/>
      <c r="AF387" s="382"/>
      <c r="AG387" s="382"/>
      <c r="AH387" s="382"/>
      <c r="AI387" s="382"/>
      <c r="AJ387" s="382"/>
      <c r="AK387" s="382"/>
      <c r="AL387" s="382"/>
      <c r="AM387" s="382"/>
    </row>
    <row r="388" spans="2:39" ht="27.75" customHeight="1">
      <c r="B388" s="382"/>
      <c r="C388" s="382"/>
      <c r="D388" s="382"/>
      <c r="E388" s="382"/>
      <c r="F388" s="382"/>
      <c r="G388" s="382"/>
      <c r="H388" s="382"/>
      <c r="I388" s="382"/>
      <c r="J388" s="382"/>
      <c r="K388" s="382"/>
      <c r="L388" s="382"/>
      <c r="M388" s="382"/>
      <c r="N388" s="382"/>
      <c r="O388" s="382"/>
      <c r="P388" s="382"/>
      <c r="Q388" s="382"/>
      <c r="R388" s="382"/>
      <c r="S388" s="382"/>
      <c r="T388" s="382"/>
      <c r="U388" s="382"/>
      <c r="V388" s="382"/>
      <c r="W388" s="382"/>
      <c r="X388" s="382"/>
      <c r="Y388" s="382"/>
      <c r="Z388" s="382"/>
      <c r="AA388" s="382"/>
      <c r="AB388" s="382"/>
      <c r="AC388" s="382"/>
      <c r="AD388" s="382"/>
      <c r="AE388" s="382"/>
      <c r="AF388" s="382"/>
      <c r="AG388" s="382"/>
      <c r="AH388" s="382"/>
      <c r="AI388" s="382"/>
      <c r="AJ388" s="382"/>
      <c r="AK388" s="382"/>
      <c r="AL388" s="382"/>
      <c r="AM388" s="382"/>
    </row>
    <row r="389" spans="2:39" ht="27.75" customHeight="1">
      <c r="B389" s="382"/>
      <c r="C389" s="382"/>
      <c r="D389" s="382"/>
      <c r="E389" s="382"/>
      <c r="F389" s="382"/>
      <c r="G389" s="382"/>
      <c r="H389" s="382"/>
      <c r="I389" s="382"/>
      <c r="J389" s="382"/>
      <c r="K389" s="382"/>
      <c r="L389" s="382"/>
      <c r="M389" s="382"/>
      <c r="N389" s="382"/>
      <c r="O389" s="382"/>
      <c r="P389" s="382"/>
      <c r="Q389" s="382"/>
      <c r="R389" s="382"/>
      <c r="S389" s="382"/>
      <c r="T389" s="382"/>
      <c r="U389" s="382"/>
      <c r="V389" s="382"/>
      <c r="W389" s="382"/>
      <c r="X389" s="382"/>
      <c r="Y389" s="382"/>
      <c r="Z389" s="382"/>
      <c r="AA389" s="382"/>
      <c r="AB389" s="382"/>
      <c r="AC389" s="382"/>
      <c r="AD389" s="382"/>
      <c r="AE389" s="382"/>
      <c r="AF389" s="382"/>
      <c r="AG389" s="382"/>
      <c r="AH389" s="382"/>
      <c r="AI389" s="382"/>
      <c r="AJ389" s="382"/>
      <c r="AK389" s="382"/>
      <c r="AL389" s="382"/>
      <c r="AM389" s="382"/>
    </row>
    <row r="390" spans="2:39" ht="27.75" customHeight="1">
      <c r="B390" s="382"/>
      <c r="C390" s="382"/>
      <c r="D390" s="382"/>
      <c r="E390" s="382"/>
      <c r="F390" s="382"/>
      <c r="G390" s="382"/>
      <c r="H390" s="382"/>
      <c r="I390" s="382"/>
      <c r="J390" s="382"/>
      <c r="K390" s="382"/>
      <c r="L390" s="382"/>
      <c r="M390" s="382"/>
      <c r="N390" s="382"/>
      <c r="O390" s="382"/>
      <c r="P390" s="382"/>
      <c r="Q390" s="382"/>
      <c r="R390" s="382"/>
      <c r="S390" s="382"/>
      <c r="T390" s="382"/>
      <c r="U390" s="382"/>
      <c r="V390" s="382"/>
      <c r="W390" s="382"/>
      <c r="X390" s="382"/>
      <c r="Y390" s="382"/>
      <c r="Z390" s="382"/>
      <c r="AA390" s="382"/>
      <c r="AB390" s="382"/>
      <c r="AC390" s="382"/>
      <c r="AD390" s="382"/>
      <c r="AE390" s="382"/>
      <c r="AF390" s="382"/>
      <c r="AG390" s="382"/>
      <c r="AH390" s="382"/>
      <c r="AI390" s="382"/>
      <c r="AJ390" s="382"/>
      <c r="AK390" s="382"/>
      <c r="AL390" s="382"/>
      <c r="AM390" s="382"/>
    </row>
    <row r="391" spans="2:39" ht="27.75" customHeight="1">
      <c r="B391" s="382"/>
      <c r="C391" s="382"/>
      <c r="D391" s="382"/>
      <c r="E391" s="382"/>
      <c r="F391" s="382"/>
      <c r="G391" s="382"/>
      <c r="H391" s="382"/>
      <c r="I391" s="382"/>
      <c r="J391" s="382"/>
      <c r="K391" s="382"/>
      <c r="L391" s="382"/>
      <c r="M391" s="382"/>
      <c r="N391" s="382"/>
      <c r="O391" s="382"/>
      <c r="P391" s="382"/>
      <c r="Q391" s="382"/>
      <c r="R391" s="382"/>
      <c r="S391" s="382"/>
      <c r="T391" s="382"/>
      <c r="U391" s="382"/>
      <c r="V391" s="382"/>
      <c r="W391" s="382"/>
      <c r="X391" s="382"/>
      <c r="Y391" s="382"/>
      <c r="Z391" s="382"/>
      <c r="AA391" s="382"/>
      <c r="AB391" s="382"/>
      <c r="AC391" s="382"/>
      <c r="AD391" s="382"/>
      <c r="AE391" s="382"/>
      <c r="AF391" s="382"/>
      <c r="AG391" s="382"/>
      <c r="AH391" s="382"/>
      <c r="AI391" s="382"/>
      <c r="AJ391" s="382"/>
      <c r="AK391" s="382"/>
      <c r="AL391" s="382"/>
      <c r="AM391" s="382"/>
    </row>
    <row r="392" spans="2:39" ht="27.75" customHeight="1">
      <c r="B392" s="382"/>
      <c r="C392" s="382"/>
      <c r="D392" s="382"/>
      <c r="E392" s="382"/>
      <c r="F392" s="382"/>
      <c r="G392" s="382"/>
      <c r="H392" s="382"/>
      <c r="I392" s="382"/>
      <c r="J392" s="382"/>
      <c r="K392" s="382"/>
      <c r="L392" s="382"/>
      <c r="M392" s="382"/>
      <c r="N392" s="382"/>
      <c r="O392" s="382"/>
      <c r="P392" s="382"/>
      <c r="Q392" s="382"/>
      <c r="R392" s="382"/>
      <c r="S392" s="382"/>
      <c r="T392" s="382"/>
      <c r="U392" s="382"/>
      <c r="V392" s="382"/>
      <c r="W392" s="382"/>
      <c r="X392" s="382"/>
      <c r="Y392" s="382"/>
      <c r="Z392" s="382"/>
      <c r="AA392" s="382"/>
      <c r="AB392" s="382"/>
      <c r="AC392" s="382"/>
      <c r="AD392" s="382"/>
      <c r="AE392" s="382"/>
      <c r="AF392" s="382"/>
      <c r="AG392" s="382"/>
      <c r="AH392" s="382"/>
      <c r="AI392" s="382"/>
      <c r="AJ392" s="382"/>
      <c r="AK392" s="382"/>
      <c r="AL392" s="382"/>
      <c r="AM392" s="382"/>
    </row>
    <row r="393" spans="2:39" ht="27.75" customHeight="1">
      <c r="B393" s="382"/>
      <c r="C393" s="382"/>
      <c r="D393" s="382"/>
      <c r="E393" s="382"/>
      <c r="F393" s="382"/>
      <c r="G393" s="382"/>
      <c r="H393" s="382"/>
      <c r="I393" s="382"/>
      <c r="J393" s="382"/>
      <c r="K393" s="382"/>
      <c r="L393" s="382"/>
      <c r="M393" s="382"/>
      <c r="N393" s="382"/>
      <c r="O393" s="382"/>
      <c r="P393" s="382"/>
      <c r="Q393" s="382"/>
      <c r="R393" s="382"/>
      <c r="S393" s="382"/>
      <c r="T393" s="382"/>
      <c r="U393" s="382"/>
      <c r="V393" s="382"/>
      <c r="W393" s="382"/>
      <c r="X393" s="382"/>
      <c r="Y393" s="382"/>
      <c r="Z393" s="382"/>
      <c r="AA393" s="382"/>
      <c r="AB393" s="382"/>
      <c r="AC393" s="382"/>
      <c r="AD393" s="382"/>
      <c r="AE393" s="382"/>
      <c r="AF393" s="382"/>
      <c r="AG393" s="382"/>
      <c r="AH393" s="382"/>
      <c r="AI393" s="382"/>
      <c r="AJ393" s="382"/>
      <c r="AK393" s="382"/>
      <c r="AL393" s="382"/>
      <c r="AM393" s="382"/>
    </row>
    <row r="394" spans="2:39" ht="27.75" customHeight="1">
      <c r="B394" s="382"/>
      <c r="C394" s="382"/>
      <c r="D394" s="382"/>
      <c r="E394" s="382"/>
      <c r="F394" s="382"/>
      <c r="G394" s="382"/>
      <c r="H394" s="382"/>
      <c r="I394" s="382"/>
      <c r="J394" s="382"/>
      <c r="K394" s="382"/>
      <c r="L394" s="382"/>
      <c r="M394" s="382"/>
      <c r="N394" s="382"/>
      <c r="O394" s="382"/>
      <c r="P394" s="382"/>
      <c r="Q394" s="382"/>
      <c r="R394" s="382"/>
      <c r="S394" s="382"/>
      <c r="T394" s="382"/>
      <c r="U394" s="382"/>
      <c r="V394" s="382"/>
      <c r="W394" s="382"/>
      <c r="X394" s="382"/>
      <c r="Y394" s="382"/>
      <c r="Z394" s="382"/>
      <c r="AA394" s="382"/>
      <c r="AB394" s="382"/>
      <c r="AC394" s="382"/>
      <c r="AD394" s="382"/>
      <c r="AE394" s="382"/>
      <c r="AF394" s="382"/>
      <c r="AG394" s="382"/>
      <c r="AH394" s="382"/>
      <c r="AI394" s="382"/>
      <c r="AJ394" s="382"/>
      <c r="AK394" s="382"/>
      <c r="AL394" s="382"/>
      <c r="AM394" s="382"/>
    </row>
    <row r="395" spans="2:39" ht="27.75" customHeight="1">
      <c r="B395" s="382"/>
      <c r="C395" s="382"/>
      <c r="D395" s="382"/>
      <c r="E395" s="382"/>
      <c r="F395" s="382"/>
      <c r="G395" s="382"/>
      <c r="H395" s="382"/>
      <c r="I395" s="382"/>
      <c r="J395" s="382"/>
      <c r="K395" s="382"/>
      <c r="L395" s="382"/>
      <c r="M395" s="382"/>
      <c r="N395" s="382"/>
      <c r="O395" s="382"/>
      <c r="P395" s="382"/>
      <c r="Q395" s="382"/>
      <c r="R395" s="382"/>
      <c r="S395" s="382"/>
      <c r="T395" s="382"/>
      <c r="U395" s="382"/>
      <c r="V395" s="382"/>
      <c r="W395" s="382"/>
      <c r="X395" s="382"/>
      <c r="Y395" s="382"/>
      <c r="Z395" s="382"/>
      <c r="AA395" s="382"/>
      <c r="AB395" s="382"/>
      <c r="AC395" s="382"/>
      <c r="AD395" s="382"/>
      <c r="AE395" s="382"/>
      <c r="AF395" s="382"/>
      <c r="AG395" s="382"/>
      <c r="AH395" s="382"/>
      <c r="AI395" s="382"/>
      <c r="AJ395" s="382"/>
      <c r="AK395" s="382"/>
      <c r="AL395" s="382"/>
      <c r="AM395" s="382"/>
    </row>
    <row r="396" spans="2:39" ht="27.75" customHeight="1">
      <c r="B396" s="382"/>
      <c r="C396" s="382"/>
      <c r="D396" s="382"/>
      <c r="E396" s="382"/>
      <c r="F396" s="382"/>
      <c r="G396" s="382"/>
      <c r="H396" s="382"/>
      <c r="I396" s="382"/>
      <c r="J396" s="382"/>
      <c r="K396" s="382"/>
      <c r="L396" s="382"/>
      <c r="M396" s="382"/>
      <c r="N396" s="382"/>
      <c r="O396" s="382"/>
      <c r="P396" s="382"/>
      <c r="Q396" s="382"/>
      <c r="R396" s="382"/>
      <c r="S396" s="382"/>
      <c r="T396" s="382"/>
      <c r="U396" s="382"/>
      <c r="V396" s="382"/>
      <c r="W396" s="382"/>
      <c r="X396" s="382"/>
      <c r="Y396" s="382"/>
      <c r="Z396" s="382"/>
      <c r="AA396" s="382"/>
      <c r="AB396" s="382"/>
      <c r="AC396" s="382"/>
      <c r="AD396" s="382"/>
      <c r="AE396" s="382"/>
      <c r="AF396" s="382"/>
      <c r="AG396" s="382"/>
      <c r="AH396" s="382"/>
      <c r="AI396" s="382"/>
      <c r="AJ396" s="382"/>
      <c r="AK396" s="382"/>
      <c r="AL396" s="382"/>
      <c r="AM396" s="382"/>
    </row>
    <row r="397" spans="2:39" ht="27.75" customHeight="1">
      <c r="B397" s="382"/>
      <c r="C397" s="382"/>
      <c r="D397" s="382"/>
      <c r="E397" s="382"/>
      <c r="F397" s="382"/>
      <c r="G397" s="382"/>
      <c r="H397" s="382"/>
      <c r="I397" s="382"/>
      <c r="J397" s="382"/>
      <c r="K397" s="382"/>
      <c r="L397" s="382"/>
      <c r="M397" s="382"/>
      <c r="N397" s="382"/>
      <c r="O397" s="382"/>
      <c r="P397" s="382"/>
      <c r="Q397" s="382"/>
      <c r="R397" s="382"/>
      <c r="S397" s="382"/>
      <c r="T397" s="382"/>
      <c r="U397" s="382"/>
      <c r="V397" s="382"/>
      <c r="W397" s="382"/>
      <c r="X397" s="382"/>
      <c r="Y397" s="382"/>
      <c r="Z397" s="382"/>
      <c r="AA397" s="382"/>
      <c r="AB397" s="382"/>
      <c r="AC397" s="382"/>
      <c r="AD397" s="382"/>
      <c r="AE397" s="382"/>
      <c r="AF397" s="382"/>
      <c r="AG397" s="382"/>
      <c r="AH397" s="382"/>
      <c r="AI397" s="382"/>
      <c r="AJ397" s="382"/>
      <c r="AK397" s="382"/>
      <c r="AL397" s="382"/>
      <c r="AM397" s="382"/>
    </row>
    <row r="398" spans="2:39" ht="27.75" customHeight="1">
      <c r="B398" s="382"/>
      <c r="C398" s="382"/>
      <c r="D398" s="382"/>
      <c r="E398" s="382"/>
      <c r="F398" s="382"/>
      <c r="G398" s="382"/>
      <c r="H398" s="382"/>
      <c r="I398" s="382"/>
      <c r="J398" s="382"/>
      <c r="K398" s="382"/>
      <c r="L398" s="382"/>
      <c r="M398" s="382"/>
      <c r="N398" s="382"/>
      <c r="O398" s="382"/>
      <c r="P398" s="382"/>
      <c r="Q398" s="382"/>
      <c r="R398" s="382"/>
      <c r="S398" s="382"/>
      <c r="T398" s="382"/>
      <c r="U398" s="382"/>
      <c r="V398" s="382"/>
      <c r="W398" s="382"/>
      <c r="X398" s="382"/>
      <c r="Y398" s="382"/>
      <c r="Z398" s="382"/>
      <c r="AA398" s="382"/>
      <c r="AB398" s="382"/>
      <c r="AC398" s="382"/>
      <c r="AD398" s="382"/>
      <c r="AE398" s="382"/>
      <c r="AF398" s="382"/>
      <c r="AG398" s="382"/>
      <c r="AH398" s="382"/>
      <c r="AI398" s="382"/>
      <c r="AJ398" s="382"/>
      <c r="AK398" s="382"/>
      <c r="AL398" s="382"/>
      <c r="AM398" s="382"/>
    </row>
    <row r="399" spans="2:39" ht="27.75" customHeight="1">
      <c r="B399" s="382"/>
      <c r="C399" s="382"/>
      <c r="D399" s="382"/>
      <c r="E399" s="382"/>
      <c r="F399" s="382"/>
      <c r="G399" s="382"/>
      <c r="H399" s="382"/>
      <c r="I399" s="382"/>
      <c r="J399" s="382"/>
      <c r="K399" s="382"/>
      <c r="L399" s="382"/>
      <c r="M399" s="382"/>
      <c r="N399" s="382"/>
      <c r="O399" s="382"/>
      <c r="P399" s="382"/>
      <c r="Q399" s="382"/>
      <c r="R399" s="382"/>
      <c r="S399" s="382"/>
      <c r="T399" s="382"/>
      <c r="U399" s="382"/>
      <c r="V399" s="382"/>
      <c r="W399" s="382"/>
      <c r="X399" s="382"/>
      <c r="Y399" s="382"/>
      <c r="Z399" s="382"/>
      <c r="AA399" s="382"/>
      <c r="AB399" s="382"/>
      <c r="AC399" s="382"/>
      <c r="AD399" s="382"/>
      <c r="AE399" s="382"/>
      <c r="AF399" s="382"/>
      <c r="AG399" s="382"/>
      <c r="AH399" s="382"/>
      <c r="AI399" s="382"/>
      <c r="AJ399" s="382"/>
      <c r="AK399" s="382"/>
      <c r="AL399" s="382"/>
      <c r="AM399" s="382"/>
    </row>
    <row r="400" spans="2:39" ht="27.75" customHeight="1">
      <c r="B400" s="382"/>
      <c r="C400" s="382"/>
      <c r="D400" s="382"/>
      <c r="E400" s="382"/>
      <c r="F400" s="382"/>
      <c r="G400" s="382"/>
      <c r="H400" s="382"/>
      <c r="I400" s="382"/>
      <c r="J400" s="382"/>
      <c r="K400" s="382"/>
      <c r="L400" s="382"/>
      <c r="M400" s="382"/>
      <c r="N400" s="382"/>
      <c r="O400" s="382"/>
      <c r="P400" s="382"/>
      <c r="Q400" s="382"/>
      <c r="R400" s="382"/>
      <c r="S400" s="382"/>
      <c r="T400" s="382"/>
      <c r="U400" s="382"/>
      <c r="V400" s="382"/>
      <c r="W400" s="382"/>
      <c r="X400" s="382"/>
      <c r="Y400" s="382"/>
      <c r="Z400" s="382"/>
      <c r="AA400" s="382"/>
      <c r="AB400" s="382"/>
      <c r="AC400" s="382"/>
      <c r="AD400" s="382"/>
      <c r="AE400" s="382"/>
      <c r="AF400" s="382"/>
      <c r="AG400" s="382"/>
      <c r="AH400" s="382"/>
      <c r="AI400" s="382"/>
      <c r="AJ400" s="382"/>
      <c r="AK400" s="382"/>
      <c r="AL400" s="382"/>
      <c r="AM400" s="382"/>
    </row>
    <row r="401" spans="2:39" ht="27.75" customHeight="1">
      <c r="B401" s="382"/>
      <c r="C401" s="382"/>
      <c r="D401" s="382"/>
      <c r="E401" s="382"/>
      <c r="F401" s="382"/>
      <c r="G401" s="382"/>
      <c r="H401" s="382"/>
      <c r="I401" s="382"/>
      <c r="J401" s="382"/>
      <c r="K401" s="382"/>
      <c r="L401" s="382"/>
      <c r="M401" s="382"/>
      <c r="N401" s="382"/>
      <c r="O401" s="382"/>
      <c r="P401" s="382"/>
      <c r="Q401" s="382"/>
      <c r="R401" s="382"/>
      <c r="S401" s="382"/>
      <c r="T401" s="382"/>
      <c r="U401" s="382"/>
      <c r="V401" s="382"/>
      <c r="W401" s="382"/>
      <c r="X401" s="382"/>
      <c r="Y401" s="382"/>
      <c r="Z401" s="382"/>
      <c r="AA401" s="382"/>
      <c r="AB401" s="382"/>
      <c r="AC401" s="382"/>
      <c r="AD401" s="382"/>
      <c r="AE401" s="382"/>
      <c r="AF401" s="382"/>
      <c r="AG401" s="382"/>
      <c r="AH401" s="382"/>
      <c r="AI401" s="382"/>
      <c r="AJ401" s="382"/>
      <c r="AK401" s="382"/>
      <c r="AL401" s="382"/>
      <c r="AM401" s="382"/>
    </row>
    <row r="402" spans="2:39" ht="27.75" customHeight="1">
      <c r="B402" s="382"/>
      <c r="C402" s="382"/>
      <c r="D402" s="382"/>
      <c r="E402" s="382"/>
      <c r="F402" s="382"/>
      <c r="G402" s="382"/>
      <c r="H402" s="382"/>
      <c r="I402" s="382"/>
      <c r="J402" s="382"/>
      <c r="K402" s="382"/>
      <c r="L402" s="382"/>
      <c r="M402" s="382"/>
      <c r="N402" s="382"/>
      <c r="O402" s="382"/>
      <c r="P402" s="382"/>
      <c r="Q402" s="382"/>
      <c r="R402" s="382"/>
      <c r="S402" s="382"/>
      <c r="T402" s="382"/>
      <c r="U402" s="382"/>
      <c r="V402" s="382"/>
      <c r="W402" s="382"/>
      <c r="X402" s="382"/>
      <c r="Y402" s="382"/>
      <c r="Z402" s="382"/>
      <c r="AA402" s="382"/>
      <c r="AB402" s="382"/>
      <c r="AC402" s="382"/>
      <c r="AD402" s="382"/>
      <c r="AE402" s="382"/>
      <c r="AF402" s="382"/>
      <c r="AG402" s="382"/>
      <c r="AH402" s="382"/>
      <c r="AI402" s="382"/>
      <c r="AJ402" s="382"/>
      <c r="AK402" s="382"/>
      <c r="AL402" s="382"/>
      <c r="AM402" s="382"/>
    </row>
    <row r="403" spans="2:39" ht="27.75" customHeight="1">
      <c r="B403" s="382"/>
      <c r="C403" s="382"/>
      <c r="D403" s="382"/>
      <c r="E403" s="382"/>
      <c r="F403" s="382"/>
      <c r="G403" s="382"/>
      <c r="H403" s="382"/>
      <c r="I403" s="382"/>
      <c r="J403" s="382"/>
      <c r="K403" s="382"/>
      <c r="L403" s="382"/>
      <c r="M403" s="382"/>
      <c r="N403" s="382"/>
      <c r="O403" s="382"/>
      <c r="P403" s="382"/>
      <c r="Q403" s="382"/>
      <c r="R403" s="382"/>
      <c r="S403" s="382"/>
      <c r="T403" s="382"/>
      <c r="U403" s="382"/>
      <c r="V403" s="382"/>
      <c r="W403" s="382"/>
      <c r="X403" s="382"/>
      <c r="Y403" s="382"/>
      <c r="Z403" s="382"/>
      <c r="AA403" s="382"/>
      <c r="AB403" s="382"/>
      <c r="AC403" s="382"/>
      <c r="AD403" s="382"/>
      <c r="AE403" s="382"/>
      <c r="AF403" s="382"/>
      <c r="AG403" s="382"/>
      <c r="AH403" s="382"/>
      <c r="AI403" s="382"/>
      <c r="AJ403" s="382"/>
      <c r="AK403" s="382"/>
      <c r="AL403" s="382"/>
      <c r="AM403" s="382"/>
    </row>
    <row r="404" spans="2:39" ht="27.75" customHeight="1">
      <c r="B404" s="382"/>
      <c r="C404" s="382"/>
      <c r="D404" s="382"/>
      <c r="E404" s="382"/>
      <c r="F404" s="382"/>
      <c r="G404" s="382"/>
      <c r="H404" s="382"/>
      <c r="I404" s="382"/>
      <c r="J404" s="382"/>
      <c r="K404" s="382"/>
      <c r="L404" s="382"/>
      <c r="M404" s="382"/>
      <c r="N404" s="382"/>
      <c r="O404" s="382"/>
      <c r="P404" s="382"/>
      <c r="Q404" s="382"/>
      <c r="R404" s="382"/>
      <c r="S404" s="382"/>
      <c r="T404" s="382"/>
      <c r="U404" s="382"/>
      <c r="V404" s="382"/>
      <c r="W404" s="382"/>
      <c r="X404" s="382"/>
      <c r="Y404" s="382"/>
      <c r="Z404" s="382"/>
      <c r="AA404" s="382"/>
      <c r="AB404" s="382"/>
      <c r="AC404" s="382"/>
      <c r="AD404" s="382"/>
      <c r="AE404" s="382"/>
      <c r="AF404" s="382"/>
      <c r="AG404" s="382"/>
      <c r="AH404" s="382"/>
      <c r="AI404" s="382"/>
      <c r="AJ404" s="382"/>
      <c r="AK404" s="382"/>
      <c r="AL404" s="382"/>
      <c r="AM404" s="382"/>
    </row>
    <row r="405" spans="2:39" ht="27.75" customHeight="1">
      <c r="B405" s="382"/>
      <c r="C405" s="382"/>
      <c r="D405" s="382"/>
      <c r="E405" s="382"/>
      <c r="F405" s="382"/>
      <c r="G405" s="382"/>
      <c r="H405" s="382"/>
      <c r="I405" s="382"/>
      <c r="J405" s="382"/>
      <c r="K405" s="382"/>
      <c r="L405" s="382"/>
      <c r="M405" s="382"/>
      <c r="N405" s="382"/>
      <c r="O405" s="382"/>
      <c r="P405" s="382"/>
      <c r="Q405" s="382"/>
      <c r="R405" s="382"/>
      <c r="S405" s="382"/>
      <c r="T405" s="382"/>
      <c r="U405" s="382"/>
      <c r="V405" s="382"/>
      <c r="W405" s="382"/>
      <c r="X405" s="382"/>
      <c r="Y405" s="382"/>
      <c r="Z405" s="382"/>
      <c r="AA405" s="382"/>
      <c r="AB405" s="382"/>
      <c r="AC405" s="382"/>
      <c r="AD405" s="382"/>
      <c r="AE405" s="382"/>
      <c r="AF405" s="382"/>
      <c r="AG405" s="382"/>
      <c r="AH405" s="382"/>
      <c r="AI405" s="382"/>
      <c r="AJ405" s="382"/>
      <c r="AK405" s="382"/>
      <c r="AL405" s="382"/>
      <c r="AM405" s="382"/>
    </row>
    <row r="406" spans="2:39" ht="27.75" customHeight="1">
      <c r="B406" s="382"/>
      <c r="C406" s="382"/>
      <c r="D406" s="382"/>
      <c r="E406" s="382"/>
      <c r="F406" s="382"/>
      <c r="G406" s="382"/>
      <c r="H406" s="382"/>
      <c r="I406" s="382"/>
      <c r="J406" s="382"/>
      <c r="K406" s="382"/>
      <c r="L406" s="382"/>
      <c r="M406" s="382"/>
      <c r="N406" s="382"/>
      <c r="O406" s="382"/>
      <c r="P406" s="382"/>
      <c r="Q406" s="382"/>
      <c r="R406" s="382"/>
      <c r="S406" s="382"/>
      <c r="T406" s="382"/>
      <c r="U406" s="382"/>
      <c r="V406" s="382"/>
      <c r="W406" s="382"/>
      <c r="X406" s="382"/>
      <c r="Y406" s="382"/>
      <c r="Z406" s="382"/>
      <c r="AA406" s="382"/>
      <c r="AB406" s="382"/>
      <c r="AC406" s="382"/>
      <c r="AD406" s="382"/>
      <c r="AE406" s="382"/>
      <c r="AF406" s="382"/>
      <c r="AG406" s="382"/>
      <c r="AH406" s="382"/>
      <c r="AI406" s="382"/>
      <c r="AJ406" s="382"/>
      <c r="AK406" s="382"/>
      <c r="AL406" s="382"/>
      <c r="AM406" s="382"/>
    </row>
    <row r="407" spans="2:39" ht="27.75" customHeight="1">
      <c r="B407" s="382"/>
      <c r="C407" s="382"/>
      <c r="D407" s="382"/>
      <c r="E407" s="382"/>
      <c r="F407" s="382"/>
      <c r="G407" s="382"/>
      <c r="H407" s="382"/>
      <c r="I407" s="382"/>
      <c r="J407" s="382"/>
      <c r="K407" s="382"/>
      <c r="L407" s="382"/>
      <c r="M407" s="382"/>
      <c r="N407" s="382"/>
      <c r="O407" s="382"/>
      <c r="P407" s="382"/>
      <c r="Q407" s="382"/>
      <c r="R407" s="382"/>
      <c r="S407" s="382"/>
      <c r="T407" s="382"/>
      <c r="U407" s="382"/>
      <c r="V407" s="382"/>
      <c r="W407" s="382"/>
      <c r="X407" s="382"/>
      <c r="Y407" s="382"/>
      <c r="Z407" s="382"/>
      <c r="AA407" s="382"/>
      <c r="AB407" s="382"/>
      <c r="AC407" s="382"/>
      <c r="AD407" s="382"/>
      <c r="AE407" s="382"/>
      <c r="AF407" s="382"/>
      <c r="AG407" s="382"/>
      <c r="AH407" s="382"/>
      <c r="AI407" s="382"/>
      <c r="AJ407" s="382"/>
      <c r="AK407" s="382"/>
      <c r="AL407" s="382"/>
      <c r="AM407" s="382"/>
    </row>
    <row r="408" spans="2:39" ht="27.75" customHeight="1">
      <c r="B408" s="382"/>
      <c r="C408" s="382"/>
      <c r="D408" s="382"/>
      <c r="E408" s="382"/>
      <c r="F408" s="382"/>
      <c r="G408" s="382"/>
      <c r="H408" s="382"/>
      <c r="I408" s="382"/>
      <c r="J408" s="382"/>
      <c r="K408" s="382"/>
      <c r="L408" s="382"/>
      <c r="M408" s="382"/>
      <c r="N408" s="382"/>
      <c r="O408" s="382"/>
      <c r="P408" s="382"/>
      <c r="Q408" s="382"/>
      <c r="R408" s="382"/>
      <c r="S408" s="382"/>
      <c r="T408" s="382"/>
      <c r="U408" s="382"/>
      <c r="V408" s="382"/>
      <c r="W408" s="382"/>
      <c r="X408" s="382"/>
      <c r="Y408" s="382"/>
      <c r="Z408" s="382"/>
      <c r="AA408" s="382"/>
      <c r="AB408" s="382"/>
      <c r="AC408" s="382"/>
      <c r="AD408" s="382"/>
      <c r="AE408" s="382"/>
      <c r="AF408" s="382"/>
      <c r="AG408" s="382"/>
      <c r="AH408" s="382"/>
      <c r="AI408" s="382"/>
      <c r="AJ408" s="382"/>
      <c r="AK408" s="382"/>
      <c r="AL408" s="382"/>
      <c r="AM408" s="382"/>
    </row>
    <row r="409" spans="2:39" ht="27.75" customHeight="1">
      <c r="B409" s="382"/>
      <c r="C409" s="382"/>
      <c r="D409" s="382"/>
      <c r="E409" s="382"/>
      <c r="F409" s="382"/>
      <c r="G409" s="382"/>
      <c r="H409" s="382"/>
      <c r="I409" s="382"/>
      <c r="J409" s="382"/>
      <c r="K409" s="382"/>
      <c r="L409" s="382"/>
      <c r="M409" s="382"/>
      <c r="N409" s="382"/>
      <c r="O409" s="382"/>
      <c r="P409" s="382"/>
      <c r="Q409" s="382"/>
      <c r="R409" s="382"/>
      <c r="S409" s="382"/>
      <c r="T409" s="382"/>
      <c r="U409" s="382"/>
      <c r="V409" s="382"/>
      <c r="W409" s="382"/>
      <c r="X409" s="382"/>
      <c r="Y409" s="382"/>
      <c r="Z409" s="382"/>
      <c r="AA409" s="382"/>
      <c r="AB409" s="382"/>
      <c r="AC409" s="382"/>
      <c r="AD409" s="382"/>
      <c r="AE409" s="382"/>
      <c r="AF409" s="382"/>
      <c r="AG409" s="382"/>
      <c r="AH409" s="382"/>
      <c r="AI409" s="382"/>
      <c r="AJ409" s="382"/>
      <c r="AK409" s="382"/>
      <c r="AL409" s="382"/>
      <c r="AM409" s="382"/>
    </row>
    <row r="410" spans="2:39" ht="27.75" customHeight="1">
      <c r="B410" s="382"/>
      <c r="C410" s="382"/>
      <c r="D410" s="382"/>
      <c r="E410" s="382"/>
      <c r="F410" s="382"/>
      <c r="G410" s="382"/>
      <c r="H410" s="382"/>
      <c r="I410" s="382"/>
      <c r="J410" s="382"/>
      <c r="K410" s="382"/>
      <c r="L410" s="382"/>
      <c r="M410" s="382"/>
      <c r="N410" s="382"/>
      <c r="O410" s="382"/>
      <c r="P410" s="382"/>
      <c r="Q410" s="382"/>
      <c r="R410" s="382"/>
      <c r="S410" s="382"/>
      <c r="T410" s="382"/>
      <c r="U410" s="382"/>
      <c r="V410" s="382"/>
      <c r="W410" s="382"/>
      <c r="X410" s="382"/>
      <c r="Y410" s="382"/>
      <c r="Z410" s="382"/>
      <c r="AA410" s="382"/>
      <c r="AB410" s="382"/>
      <c r="AC410" s="382"/>
      <c r="AD410" s="382"/>
      <c r="AE410" s="382"/>
      <c r="AF410" s="382"/>
      <c r="AG410" s="382"/>
      <c r="AH410" s="382"/>
      <c r="AI410" s="382"/>
      <c r="AJ410" s="382"/>
      <c r="AK410" s="382"/>
      <c r="AL410" s="382"/>
      <c r="AM410" s="382"/>
    </row>
    <row r="411" spans="2:39" ht="27.75" customHeight="1">
      <c r="B411" s="382"/>
      <c r="C411" s="382"/>
      <c r="D411" s="382"/>
      <c r="E411" s="382"/>
      <c r="F411" s="382"/>
      <c r="G411" s="382"/>
      <c r="H411" s="382"/>
      <c r="I411" s="382"/>
      <c r="J411" s="382"/>
      <c r="K411" s="382"/>
      <c r="L411" s="382"/>
      <c r="M411" s="382"/>
      <c r="N411" s="382"/>
      <c r="O411" s="382"/>
      <c r="P411" s="382"/>
      <c r="Q411" s="382"/>
      <c r="R411" s="382"/>
      <c r="S411" s="382"/>
      <c r="T411" s="382"/>
      <c r="U411" s="382"/>
      <c r="V411" s="382"/>
      <c r="W411" s="382"/>
      <c r="X411" s="382"/>
      <c r="Y411" s="382"/>
      <c r="Z411" s="382"/>
      <c r="AA411" s="382"/>
      <c r="AB411" s="382"/>
      <c r="AC411" s="382"/>
      <c r="AD411" s="382"/>
      <c r="AE411" s="382"/>
      <c r="AF411" s="382"/>
      <c r="AG411" s="382"/>
      <c r="AH411" s="382"/>
      <c r="AI411" s="382"/>
      <c r="AJ411" s="382"/>
      <c r="AK411" s="382"/>
      <c r="AL411" s="382"/>
      <c r="AM411" s="382"/>
    </row>
    <row r="412" spans="2:39" ht="27.75" customHeight="1">
      <c r="B412" s="382"/>
      <c r="C412" s="382"/>
      <c r="D412" s="382"/>
      <c r="E412" s="382"/>
      <c r="F412" s="382"/>
      <c r="G412" s="382"/>
      <c r="H412" s="382"/>
      <c r="I412" s="382"/>
      <c r="J412" s="382"/>
      <c r="K412" s="382"/>
      <c r="L412" s="382"/>
      <c r="M412" s="382"/>
      <c r="N412" s="382"/>
      <c r="O412" s="382"/>
      <c r="P412" s="382"/>
      <c r="Q412" s="382"/>
      <c r="R412" s="382"/>
      <c r="S412" s="382"/>
      <c r="T412" s="382"/>
      <c r="U412" s="382"/>
      <c r="V412" s="382"/>
      <c r="W412" s="382"/>
      <c r="X412" s="382"/>
      <c r="Y412" s="382"/>
      <c r="Z412" s="382"/>
      <c r="AA412" s="382"/>
      <c r="AB412" s="382"/>
      <c r="AC412" s="382"/>
      <c r="AD412" s="382"/>
      <c r="AE412" s="382"/>
      <c r="AF412" s="382"/>
      <c r="AG412" s="382"/>
      <c r="AH412" s="382"/>
      <c r="AI412" s="382"/>
      <c r="AJ412" s="382"/>
      <c r="AK412" s="382"/>
      <c r="AL412" s="382"/>
      <c r="AM412" s="382"/>
    </row>
    <row r="413" spans="2:39" ht="27.75" customHeight="1">
      <c r="B413" s="382"/>
      <c r="C413" s="382"/>
      <c r="D413" s="382"/>
      <c r="E413" s="382"/>
      <c r="F413" s="382"/>
      <c r="G413" s="382"/>
      <c r="H413" s="382"/>
      <c r="I413" s="382"/>
      <c r="J413" s="382"/>
      <c r="K413" s="382"/>
      <c r="L413" s="382"/>
      <c r="M413" s="382"/>
      <c r="N413" s="382"/>
      <c r="O413" s="382"/>
      <c r="P413" s="382"/>
      <c r="Q413" s="382"/>
      <c r="R413" s="382"/>
      <c r="S413" s="382"/>
      <c r="T413" s="382"/>
      <c r="U413" s="382"/>
      <c r="V413" s="382"/>
      <c r="W413" s="382"/>
      <c r="X413" s="382"/>
      <c r="Y413" s="382"/>
      <c r="Z413" s="382"/>
      <c r="AA413" s="382"/>
      <c r="AB413" s="382"/>
      <c r="AC413" s="382"/>
      <c r="AD413" s="382"/>
      <c r="AE413" s="382"/>
      <c r="AF413" s="382"/>
      <c r="AG413" s="382"/>
      <c r="AH413" s="382"/>
      <c r="AI413" s="382"/>
      <c r="AJ413" s="382"/>
      <c r="AK413" s="382"/>
      <c r="AL413" s="382"/>
      <c r="AM413" s="382"/>
    </row>
    <row r="414" spans="2:39" ht="27.75" customHeight="1">
      <c r="B414" s="382"/>
      <c r="C414" s="382"/>
      <c r="D414" s="382"/>
      <c r="E414" s="382"/>
      <c r="F414" s="382"/>
      <c r="G414" s="382"/>
      <c r="H414" s="382"/>
      <c r="I414" s="382"/>
      <c r="J414" s="382"/>
      <c r="K414" s="382"/>
      <c r="L414" s="382"/>
      <c r="M414" s="382"/>
      <c r="N414" s="382"/>
      <c r="O414" s="382"/>
      <c r="P414" s="382"/>
      <c r="Q414" s="382"/>
      <c r="R414" s="382"/>
      <c r="S414" s="382"/>
      <c r="T414" s="382"/>
      <c r="U414" s="382"/>
      <c r="V414" s="382"/>
      <c r="W414" s="382"/>
      <c r="X414" s="382"/>
      <c r="Y414" s="382"/>
      <c r="Z414" s="382"/>
      <c r="AA414" s="382"/>
      <c r="AB414" s="382"/>
      <c r="AC414" s="382"/>
      <c r="AD414" s="382"/>
      <c r="AE414" s="382"/>
      <c r="AF414" s="382"/>
      <c r="AG414" s="382"/>
      <c r="AH414" s="382"/>
      <c r="AI414" s="382"/>
      <c r="AJ414" s="382"/>
      <c r="AK414" s="382"/>
      <c r="AL414" s="382"/>
      <c r="AM414" s="382"/>
    </row>
    <row r="415" spans="2:39" ht="27.75" customHeight="1">
      <c r="B415" s="382"/>
      <c r="C415" s="382"/>
      <c r="D415" s="382"/>
      <c r="E415" s="382"/>
      <c r="F415" s="382"/>
      <c r="G415" s="382"/>
      <c r="H415" s="382"/>
      <c r="I415" s="382"/>
      <c r="J415" s="382"/>
      <c r="K415" s="382"/>
      <c r="L415" s="382"/>
      <c r="M415" s="382"/>
      <c r="N415" s="382"/>
      <c r="O415" s="382"/>
      <c r="P415" s="382"/>
      <c r="Q415" s="382"/>
      <c r="R415" s="382"/>
      <c r="S415" s="382"/>
      <c r="T415" s="382"/>
      <c r="U415" s="382"/>
      <c r="V415" s="382"/>
      <c r="W415" s="382"/>
      <c r="X415" s="382"/>
      <c r="Y415" s="382"/>
      <c r="Z415" s="382"/>
      <c r="AA415" s="382"/>
      <c r="AB415" s="382"/>
      <c r="AC415" s="382"/>
      <c r="AD415" s="382"/>
      <c r="AE415" s="382"/>
      <c r="AF415" s="382"/>
      <c r="AG415" s="382"/>
      <c r="AH415" s="382"/>
      <c r="AI415" s="382"/>
      <c r="AJ415" s="382"/>
      <c r="AK415" s="382"/>
      <c r="AL415" s="382"/>
      <c r="AM415" s="382"/>
    </row>
    <row r="416" spans="2:39" ht="27.75" customHeight="1">
      <c r="B416" s="382"/>
      <c r="C416" s="382"/>
      <c r="D416" s="382"/>
      <c r="E416" s="382"/>
      <c r="F416" s="382"/>
      <c r="G416" s="382"/>
      <c r="H416" s="382"/>
      <c r="I416" s="382"/>
      <c r="J416" s="382"/>
      <c r="K416" s="382"/>
      <c r="L416" s="382"/>
      <c r="M416" s="382"/>
      <c r="N416" s="382"/>
      <c r="O416" s="382"/>
      <c r="P416" s="382"/>
      <c r="Q416" s="382"/>
      <c r="R416" s="382"/>
      <c r="S416" s="382"/>
      <c r="T416" s="382"/>
      <c r="U416" s="382"/>
      <c r="V416" s="382"/>
      <c r="W416" s="382"/>
      <c r="X416" s="382"/>
      <c r="Y416" s="382"/>
      <c r="Z416" s="382"/>
      <c r="AA416" s="382"/>
      <c r="AB416" s="382"/>
      <c r="AC416" s="382"/>
      <c r="AD416" s="382"/>
      <c r="AE416" s="382"/>
      <c r="AF416" s="382"/>
      <c r="AG416" s="382"/>
      <c r="AH416" s="382"/>
      <c r="AI416" s="382"/>
      <c r="AJ416" s="382"/>
      <c r="AK416" s="382"/>
      <c r="AL416" s="382"/>
      <c r="AM416" s="382"/>
    </row>
    <row r="417" spans="2:39" ht="27.75" customHeight="1">
      <c r="B417" s="382"/>
      <c r="C417" s="382"/>
      <c r="D417" s="382"/>
      <c r="E417" s="382"/>
      <c r="F417" s="382"/>
      <c r="G417" s="382"/>
      <c r="H417" s="382"/>
      <c r="I417" s="382"/>
      <c r="J417" s="382"/>
      <c r="K417" s="382"/>
      <c r="L417" s="382"/>
      <c r="M417" s="382"/>
      <c r="N417" s="382"/>
      <c r="O417" s="382"/>
      <c r="P417" s="382"/>
      <c r="Q417" s="382"/>
      <c r="R417" s="382"/>
      <c r="S417" s="382"/>
      <c r="T417" s="382"/>
      <c r="U417" s="382"/>
      <c r="V417" s="382"/>
      <c r="W417" s="382"/>
      <c r="X417" s="382"/>
      <c r="Y417" s="382"/>
      <c r="Z417" s="382"/>
      <c r="AA417" s="382"/>
      <c r="AB417" s="382"/>
      <c r="AC417" s="382"/>
      <c r="AD417" s="382"/>
      <c r="AE417" s="382"/>
      <c r="AF417" s="382"/>
      <c r="AG417" s="382"/>
      <c r="AH417" s="382"/>
      <c r="AI417" s="382"/>
      <c r="AJ417" s="382"/>
      <c r="AK417" s="382"/>
      <c r="AL417" s="382"/>
      <c r="AM417" s="382"/>
    </row>
    <row r="418" spans="2:39" ht="27.75" customHeight="1">
      <c r="B418" s="382"/>
      <c r="C418" s="382"/>
      <c r="D418" s="382"/>
      <c r="E418" s="382"/>
      <c r="F418" s="382"/>
      <c r="G418" s="382"/>
      <c r="H418" s="382"/>
      <c r="I418" s="382"/>
      <c r="J418" s="382"/>
      <c r="K418" s="382"/>
      <c r="L418" s="382"/>
      <c r="M418" s="382"/>
      <c r="N418" s="382"/>
      <c r="O418" s="382"/>
      <c r="P418" s="382"/>
      <c r="Q418" s="382"/>
      <c r="R418" s="382"/>
      <c r="S418" s="382"/>
      <c r="T418" s="382"/>
      <c r="U418" s="382"/>
      <c r="V418" s="382"/>
      <c r="W418" s="382"/>
      <c r="X418" s="382"/>
      <c r="Y418" s="382"/>
      <c r="Z418" s="382"/>
      <c r="AA418" s="382"/>
      <c r="AB418" s="382"/>
      <c r="AC418" s="382"/>
      <c r="AD418" s="382"/>
      <c r="AE418" s="382"/>
      <c r="AF418" s="382"/>
      <c r="AG418" s="382"/>
      <c r="AH418" s="382"/>
      <c r="AI418" s="382"/>
      <c r="AJ418" s="382"/>
      <c r="AK418" s="382"/>
      <c r="AL418" s="382"/>
      <c r="AM418" s="382"/>
    </row>
    <row r="419" spans="2:39" ht="27.75" customHeight="1">
      <c r="B419" s="382"/>
      <c r="C419" s="382"/>
      <c r="D419" s="382"/>
      <c r="E419" s="382"/>
      <c r="F419" s="382"/>
      <c r="G419" s="382"/>
      <c r="H419" s="382"/>
      <c r="I419" s="382"/>
      <c r="J419" s="382"/>
      <c r="K419" s="382"/>
      <c r="L419" s="382"/>
      <c r="M419" s="382"/>
      <c r="N419" s="382"/>
      <c r="O419" s="382"/>
      <c r="P419" s="382"/>
      <c r="Q419" s="382"/>
      <c r="R419" s="382"/>
      <c r="S419" s="382"/>
      <c r="T419" s="382"/>
      <c r="U419" s="382"/>
      <c r="V419" s="382"/>
      <c r="W419" s="382"/>
      <c r="X419" s="382"/>
      <c r="Y419" s="382"/>
      <c r="Z419" s="382"/>
      <c r="AA419" s="382"/>
      <c r="AB419" s="382"/>
      <c r="AC419" s="382"/>
      <c r="AD419" s="382"/>
      <c r="AE419" s="382"/>
      <c r="AF419" s="382"/>
      <c r="AG419" s="382"/>
      <c r="AH419" s="382"/>
      <c r="AI419" s="382"/>
      <c r="AJ419" s="382"/>
      <c r="AK419" s="382"/>
      <c r="AL419" s="382"/>
      <c r="AM419" s="382"/>
    </row>
    <row r="420" spans="2:39" ht="27.75" customHeight="1">
      <c r="B420" s="382"/>
      <c r="C420" s="382"/>
      <c r="D420" s="382"/>
      <c r="E420" s="382"/>
      <c r="F420" s="382"/>
      <c r="G420" s="382"/>
      <c r="H420" s="382"/>
      <c r="I420" s="382"/>
      <c r="J420" s="382"/>
      <c r="K420" s="382"/>
      <c r="L420" s="382"/>
      <c r="M420" s="382"/>
      <c r="N420" s="382"/>
      <c r="O420" s="382"/>
      <c r="P420" s="382"/>
      <c r="Q420" s="382"/>
      <c r="R420" s="382"/>
      <c r="S420" s="382"/>
      <c r="T420" s="382"/>
      <c r="U420" s="382"/>
      <c r="V420" s="382"/>
      <c r="W420" s="382"/>
      <c r="X420" s="382"/>
      <c r="Y420" s="382"/>
      <c r="Z420" s="382"/>
      <c r="AA420" s="382"/>
      <c r="AB420" s="382"/>
      <c r="AC420" s="382"/>
      <c r="AD420" s="382"/>
      <c r="AE420" s="382"/>
      <c r="AF420" s="382"/>
      <c r="AG420" s="382"/>
      <c r="AH420" s="382"/>
      <c r="AI420" s="382"/>
      <c r="AJ420" s="382"/>
      <c r="AK420" s="382"/>
      <c r="AL420" s="382"/>
      <c r="AM420" s="382"/>
    </row>
    <row r="421" spans="2:39" ht="27.75" customHeight="1">
      <c r="B421" s="382"/>
      <c r="C421" s="382"/>
      <c r="D421" s="382"/>
      <c r="E421" s="382"/>
      <c r="F421" s="382"/>
      <c r="G421" s="382"/>
      <c r="H421" s="382"/>
      <c r="I421" s="382"/>
      <c r="J421" s="382"/>
      <c r="K421" s="382"/>
      <c r="L421" s="382"/>
      <c r="M421" s="382"/>
      <c r="N421" s="382"/>
      <c r="O421" s="382"/>
      <c r="P421" s="382"/>
      <c r="Q421" s="382"/>
      <c r="R421" s="382"/>
      <c r="S421" s="382"/>
      <c r="T421" s="382"/>
      <c r="U421" s="382"/>
      <c r="V421" s="382"/>
      <c r="W421" s="382"/>
      <c r="X421" s="382"/>
      <c r="Y421" s="382"/>
      <c r="Z421" s="382"/>
      <c r="AA421" s="382"/>
      <c r="AB421" s="382"/>
      <c r="AC421" s="382"/>
      <c r="AD421" s="382"/>
      <c r="AE421" s="382"/>
      <c r="AF421" s="382"/>
      <c r="AG421" s="382"/>
      <c r="AH421" s="382"/>
      <c r="AI421" s="382"/>
      <c r="AJ421" s="382"/>
      <c r="AK421" s="382"/>
      <c r="AL421" s="382"/>
      <c r="AM421" s="382"/>
    </row>
    <row r="422" spans="2:39" ht="27.75" customHeight="1">
      <c r="B422" s="382"/>
      <c r="C422" s="382"/>
      <c r="D422" s="382"/>
      <c r="E422" s="382"/>
      <c r="F422" s="382"/>
      <c r="G422" s="382"/>
      <c r="H422" s="382"/>
      <c r="I422" s="382"/>
      <c r="J422" s="382"/>
      <c r="K422" s="382"/>
      <c r="L422" s="382"/>
      <c r="M422" s="382"/>
      <c r="N422" s="382"/>
      <c r="O422" s="382"/>
      <c r="P422" s="382"/>
      <c r="Q422" s="382"/>
      <c r="R422" s="382"/>
      <c r="S422" s="382"/>
      <c r="T422" s="382"/>
      <c r="U422" s="382"/>
      <c r="V422" s="382"/>
      <c r="W422" s="382"/>
      <c r="X422" s="382"/>
      <c r="Y422" s="382"/>
      <c r="Z422" s="382"/>
      <c r="AA422" s="382"/>
      <c r="AB422" s="382"/>
      <c r="AC422" s="382"/>
      <c r="AD422" s="382"/>
      <c r="AE422" s="382"/>
      <c r="AF422" s="382"/>
      <c r="AG422" s="382"/>
      <c r="AH422" s="382"/>
      <c r="AI422" s="382"/>
      <c r="AJ422" s="382"/>
      <c r="AK422" s="382"/>
      <c r="AL422" s="382"/>
      <c r="AM422" s="382"/>
    </row>
    <row r="423" spans="2:39" ht="27.75" customHeight="1">
      <c r="B423" s="382"/>
      <c r="C423" s="382"/>
      <c r="D423" s="382"/>
      <c r="E423" s="382"/>
      <c r="F423" s="382"/>
      <c r="G423" s="382"/>
      <c r="H423" s="382"/>
      <c r="I423" s="382"/>
      <c r="J423" s="382"/>
      <c r="K423" s="382"/>
      <c r="L423" s="382"/>
      <c r="M423" s="382"/>
      <c r="N423" s="382"/>
      <c r="O423" s="382"/>
      <c r="P423" s="382"/>
      <c r="Q423" s="382"/>
      <c r="R423" s="382"/>
      <c r="S423" s="382"/>
      <c r="T423" s="382"/>
      <c r="U423" s="382"/>
      <c r="V423" s="382"/>
      <c r="W423" s="382"/>
      <c r="X423" s="382"/>
      <c r="Y423" s="382"/>
      <c r="Z423" s="382"/>
      <c r="AA423" s="382"/>
      <c r="AB423" s="382"/>
      <c r="AC423" s="382"/>
      <c r="AD423" s="382"/>
      <c r="AE423" s="382"/>
      <c r="AF423" s="382"/>
      <c r="AG423" s="382"/>
      <c r="AH423" s="382"/>
      <c r="AI423" s="382"/>
      <c r="AJ423" s="382"/>
      <c r="AK423" s="382"/>
      <c r="AL423" s="382"/>
      <c r="AM423" s="382"/>
    </row>
    <row r="424" spans="2:39" ht="27.75" customHeight="1">
      <c r="B424" s="382"/>
      <c r="C424" s="382"/>
      <c r="D424" s="382"/>
      <c r="E424" s="382"/>
      <c r="F424" s="382"/>
      <c r="G424" s="382"/>
      <c r="H424" s="382"/>
      <c r="I424" s="382"/>
      <c r="J424" s="382"/>
      <c r="K424" s="382"/>
      <c r="L424" s="382"/>
      <c r="M424" s="382"/>
      <c r="N424" s="382"/>
      <c r="O424" s="382"/>
      <c r="P424" s="382"/>
      <c r="Q424" s="382"/>
      <c r="R424" s="382"/>
      <c r="S424" s="382"/>
      <c r="T424" s="382"/>
      <c r="U424" s="382"/>
      <c r="V424" s="382"/>
      <c r="W424" s="382"/>
      <c r="X424" s="382"/>
      <c r="Y424" s="382"/>
      <c r="Z424" s="382"/>
      <c r="AA424" s="382"/>
      <c r="AB424" s="382"/>
      <c r="AC424" s="382"/>
      <c r="AD424" s="382"/>
      <c r="AE424" s="382"/>
      <c r="AF424" s="382"/>
      <c r="AG424" s="382"/>
      <c r="AH424" s="382"/>
      <c r="AI424" s="382"/>
      <c r="AJ424" s="382"/>
      <c r="AK424" s="382"/>
      <c r="AL424" s="382"/>
      <c r="AM424" s="382"/>
    </row>
    <row r="425" spans="2:39" ht="27.75" customHeight="1">
      <c r="B425" s="382"/>
      <c r="C425" s="382"/>
      <c r="D425" s="382"/>
      <c r="E425" s="382"/>
      <c r="F425" s="382"/>
      <c r="G425" s="382"/>
      <c r="H425" s="382"/>
      <c r="I425" s="382"/>
      <c r="J425" s="382"/>
      <c r="K425" s="382"/>
      <c r="L425" s="382"/>
      <c r="M425" s="382"/>
      <c r="N425" s="382"/>
      <c r="O425" s="382"/>
      <c r="P425" s="382"/>
      <c r="Q425" s="382"/>
      <c r="R425" s="382"/>
      <c r="S425" s="382"/>
      <c r="T425" s="382"/>
      <c r="U425" s="382"/>
      <c r="V425" s="382"/>
      <c r="W425" s="382"/>
      <c r="X425" s="382"/>
      <c r="Y425" s="382"/>
      <c r="Z425" s="382"/>
      <c r="AA425" s="382"/>
      <c r="AB425" s="382"/>
      <c r="AC425" s="382"/>
      <c r="AD425" s="382"/>
      <c r="AE425" s="382"/>
      <c r="AF425" s="382"/>
      <c r="AG425" s="382"/>
      <c r="AH425" s="382"/>
      <c r="AI425" s="382"/>
      <c r="AJ425" s="382"/>
      <c r="AK425" s="382"/>
      <c r="AL425" s="382"/>
      <c r="AM425" s="382"/>
    </row>
    <row r="426" spans="2:39" ht="27.75" customHeight="1">
      <c r="B426" s="382"/>
      <c r="C426" s="382"/>
      <c r="D426" s="382"/>
      <c r="E426" s="382"/>
      <c r="F426" s="382"/>
      <c r="G426" s="382"/>
      <c r="H426" s="382"/>
      <c r="I426" s="382"/>
      <c r="J426" s="382"/>
      <c r="K426" s="382"/>
      <c r="L426" s="382"/>
      <c r="M426" s="382"/>
      <c r="N426" s="382"/>
      <c r="O426" s="382"/>
      <c r="P426" s="382"/>
      <c r="Q426" s="382"/>
      <c r="R426" s="382"/>
      <c r="S426" s="382"/>
      <c r="T426" s="382"/>
      <c r="U426" s="382"/>
      <c r="V426" s="382"/>
      <c r="W426" s="382"/>
      <c r="X426" s="382"/>
      <c r="Y426" s="382"/>
      <c r="Z426" s="382"/>
      <c r="AA426" s="382"/>
      <c r="AB426" s="382"/>
      <c r="AC426" s="382"/>
      <c r="AD426" s="382"/>
      <c r="AE426" s="382"/>
      <c r="AF426" s="382"/>
      <c r="AG426" s="382"/>
      <c r="AH426" s="382"/>
      <c r="AI426" s="382"/>
      <c r="AJ426" s="382"/>
      <c r="AK426" s="382"/>
      <c r="AL426" s="382"/>
      <c r="AM426" s="382"/>
    </row>
    <row r="427" spans="2:39" ht="27.75" customHeight="1">
      <c r="B427" s="382"/>
      <c r="C427" s="382"/>
      <c r="D427" s="382"/>
      <c r="E427" s="382"/>
      <c r="F427" s="382"/>
      <c r="G427" s="382"/>
      <c r="H427" s="382"/>
      <c r="I427" s="382"/>
      <c r="J427" s="382"/>
      <c r="K427" s="382"/>
      <c r="L427" s="382"/>
      <c r="M427" s="382"/>
      <c r="N427" s="382"/>
      <c r="O427" s="382"/>
      <c r="P427" s="382"/>
      <c r="Q427" s="382"/>
      <c r="R427" s="382"/>
      <c r="S427" s="382"/>
      <c r="T427" s="382"/>
      <c r="U427" s="382"/>
      <c r="V427" s="382"/>
      <c r="W427" s="382"/>
      <c r="X427" s="382"/>
      <c r="Y427" s="382"/>
      <c r="Z427" s="382"/>
      <c r="AA427" s="382"/>
      <c r="AB427" s="382"/>
      <c r="AC427" s="382"/>
      <c r="AD427" s="382"/>
      <c r="AE427" s="382"/>
      <c r="AF427" s="382"/>
      <c r="AG427" s="382"/>
      <c r="AH427" s="382"/>
      <c r="AI427" s="382"/>
      <c r="AJ427" s="382"/>
      <c r="AK427" s="382"/>
      <c r="AL427" s="382"/>
      <c r="AM427" s="382"/>
    </row>
    <row r="428" spans="2:39" ht="27.75" customHeight="1">
      <c r="B428" s="382"/>
      <c r="C428" s="382"/>
      <c r="D428" s="382"/>
      <c r="E428" s="382"/>
      <c r="F428" s="382"/>
      <c r="G428" s="382"/>
      <c r="H428" s="382"/>
      <c r="I428" s="382"/>
      <c r="J428" s="382"/>
      <c r="K428" s="382"/>
      <c r="L428" s="382"/>
      <c r="M428" s="382"/>
      <c r="N428" s="382"/>
      <c r="O428" s="382"/>
      <c r="P428" s="382"/>
      <c r="Q428" s="382"/>
      <c r="R428" s="382"/>
      <c r="S428" s="382"/>
      <c r="T428" s="382"/>
      <c r="U428" s="382"/>
      <c r="V428" s="382"/>
      <c r="W428" s="382"/>
      <c r="X428" s="382"/>
      <c r="Y428" s="382"/>
      <c r="Z428" s="382"/>
      <c r="AA428" s="382"/>
      <c r="AB428" s="382"/>
      <c r="AC428" s="382"/>
      <c r="AD428" s="382"/>
      <c r="AE428" s="382"/>
      <c r="AF428" s="382"/>
      <c r="AG428" s="382"/>
      <c r="AH428" s="382"/>
      <c r="AI428" s="382"/>
      <c r="AJ428" s="382"/>
      <c r="AK428" s="382"/>
      <c r="AL428" s="382"/>
      <c r="AM428" s="382"/>
    </row>
    <row r="429" spans="2:39" ht="27.75" customHeight="1">
      <c r="B429" s="382"/>
      <c r="C429" s="382"/>
      <c r="D429" s="382"/>
      <c r="E429" s="382"/>
      <c r="F429" s="382"/>
      <c r="G429" s="382"/>
      <c r="H429" s="382"/>
      <c r="I429" s="382"/>
      <c r="J429" s="382"/>
      <c r="K429" s="382"/>
      <c r="L429" s="382"/>
      <c r="M429" s="382"/>
      <c r="N429" s="382"/>
      <c r="O429" s="382"/>
      <c r="P429" s="382"/>
      <c r="Q429" s="382"/>
      <c r="R429" s="382"/>
      <c r="S429" s="382"/>
      <c r="T429" s="382"/>
      <c r="U429" s="382"/>
      <c r="V429" s="382"/>
      <c r="W429" s="382"/>
      <c r="X429" s="382"/>
      <c r="Y429" s="382"/>
      <c r="Z429" s="382"/>
      <c r="AA429" s="382"/>
      <c r="AB429" s="382"/>
      <c r="AC429" s="382"/>
      <c r="AD429" s="382"/>
      <c r="AE429" s="382"/>
      <c r="AF429" s="382"/>
      <c r="AG429" s="382"/>
      <c r="AH429" s="382"/>
      <c r="AI429" s="382"/>
      <c r="AJ429" s="382"/>
      <c r="AK429" s="382"/>
      <c r="AL429" s="382"/>
      <c r="AM429" s="382"/>
    </row>
    <row r="430" spans="2:39" ht="27.75" customHeight="1">
      <c r="B430" s="382"/>
      <c r="C430" s="382"/>
      <c r="D430" s="382"/>
      <c r="E430" s="382"/>
      <c r="F430" s="382"/>
      <c r="G430" s="382"/>
      <c r="H430" s="382"/>
      <c r="I430" s="382"/>
      <c r="J430" s="382"/>
      <c r="K430" s="382"/>
      <c r="L430" s="382"/>
      <c r="M430" s="382"/>
      <c r="N430" s="382"/>
      <c r="O430" s="382"/>
      <c r="P430" s="382"/>
      <c r="Q430" s="382"/>
      <c r="R430" s="382"/>
      <c r="S430" s="382"/>
      <c r="T430" s="382"/>
      <c r="U430" s="382"/>
      <c r="V430" s="382"/>
      <c r="W430" s="382"/>
      <c r="X430" s="382"/>
      <c r="Y430" s="382"/>
      <c r="Z430" s="382"/>
      <c r="AA430" s="382"/>
      <c r="AB430" s="382"/>
      <c r="AC430" s="382"/>
      <c r="AD430" s="382"/>
      <c r="AE430" s="382"/>
      <c r="AF430" s="382"/>
      <c r="AG430" s="382"/>
      <c r="AH430" s="382"/>
      <c r="AI430" s="382"/>
      <c r="AJ430" s="382"/>
      <c r="AK430" s="382"/>
      <c r="AL430" s="382"/>
      <c r="AM430" s="382"/>
    </row>
    <row r="431" spans="2:39" ht="27.75" customHeight="1">
      <c r="B431" s="382"/>
      <c r="C431" s="382"/>
      <c r="D431" s="382"/>
      <c r="E431" s="382"/>
      <c r="F431" s="382"/>
      <c r="G431" s="382"/>
      <c r="H431" s="382"/>
      <c r="I431" s="382"/>
      <c r="J431" s="382"/>
      <c r="K431" s="382"/>
      <c r="L431" s="382"/>
      <c r="M431" s="382"/>
      <c r="N431" s="382"/>
      <c r="O431" s="382"/>
      <c r="P431" s="382"/>
      <c r="Q431" s="382"/>
      <c r="R431" s="382"/>
      <c r="S431" s="382"/>
      <c r="T431" s="382"/>
      <c r="U431" s="382"/>
      <c r="V431" s="382"/>
      <c r="W431" s="382"/>
      <c r="X431" s="382"/>
      <c r="Y431" s="382"/>
      <c r="Z431" s="382"/>
      <c r="AA431" s="382"/>
      <c r="AB431" s="382"/>
      <c r="AC431" s="382"/>
      <c r="AD431" s="382"/>
      <c r="AE431" s="382"/>
      <c r="AF431" s="382"/>
      <c r="AG431" s="382"/>
      <c r="AH431" s="382"/>
      <c r="AI431" s="382"/>
      <c r="AJ431" s="382"/>
      <c r="AK431" s="382"/>
      <c r="AL431" s="382"/>
      <c r="AM431" s="382"/>
    </row>
    <row r="432" spans="2:39" ht="27.75" customHeight="1">
      <c r="B432" s="382"/>
      <c r="C432" s="382"/>
      <c r="D432" s="382"/>
      <c r="E432" s="382"/>
      <c r="F432" s="382"/>
      <c r="G432" s="382"/>
      <c r="H432" s="382"/>
      <c r="I432" s="382"/>
      <c r="J432" s="382"/>
      <c r="K432" s="382"/>
      <c r="L432" s="382"/>
      <c r="M432" s="382"/>
      <c r="N432" s="382"/>
      <c r="O432" s="382"/>
      <c r="P432" s="382"/>
      <c r="Q432" s="382"/>
      <c r="R432" s="382"/>
      <c r="S432" s="382"/>
      <c r="T432" s="382"/>
      <c r="U432" s="382"/>
      <c r="V432" s="382"/>
      <c r="W432" s="382"/>
      <c r="X432" s="382"/>
      <c r="Y432" s="382"/>
      <c r="Z432" s="382"/>
      <c r="AA432" s="382"/>
      <c r="AB432" s="382"/>
      <c r="AC432" s="382"/>
      <c r="AD432" s="382"/>
      <c r="AE432" s="382"/>
      <c r="AF432" s="382"/>
      <c r="AG432" s="382"/>
      <c r="AH432" s="382"/>
      <c r="AI432" s="382"/>
      <c r="AJ432" s="382"/>
      <c r="AK432" s="382"/>
      <c r="AL432" s="382"/>
      <c r="AM432" s="382"/>
    </row>
    <row r="433" spans="2:39" ht="27.75" customHeight="1">
      <c r="B433" s="382"/>
      <c r="C433" s="382"/>
      <c r="D433" s="382"/>
      <c r="E433" s="382"/>
      <c r="F433" s="382"/>
      <c r="G433" s="382"/>
      <c r="H433" s="382"/>
      <c r="I433" s="382"/>
      <c r="J433" s="382"/>
      <c r="K433" s="382"/>
      <c r="L433" s="382"/>
      <c r="M433" s="382"/>
      <c r="N433" s="382"/>
      <c r="O433" s="382"/>
      <c r="P433" s="382"/>
      <c r="Q433" s="382"/>
      <c r="R433" s="382"/>
      <c r="S433" s="382"/>
      <c r="T433" s="382"/>
      <c r="U433" s="382"/>
      <c r="V433" s="382"/>
      <c r="W433" s="382"/>
      <c r="X433" s="382"/>
      <c r="Y433" s="382"/>
      <c r="Z433" s="382"/>
      <c r="AA433" s="382"/>
      <c r="AB433" s="382"/>
      <c r="AC433" s="382"/>
      <c r="AD433" s="382"/>
      <c r="AE433" s="382"/>
      <c r="AF433" s="382"/>
      <c r="AG433" s="382"/>
      <c r="AH433" s="382"/>
      <c r="AI433" s="382"/>
      <c r="AJ433" s="382"/>
      <c r="AK433" s="382"/>
      <c r="AL433" s="382"/>
      <c r="AM433" s="382"/>
    </row>
    <row r="434" spans="2:39" ht="27.75" customHeight="1">
      <c r="B434" s="382"/>
      <c r="C434" s="382"/>
      <c r="D434" s="382"/>
      <c r="E434" s="382"/>
      <c r="F434" s="382"/>
      <c r="G434" s="382"/>
      <c r="H434" s="382"/>
      <c r="I434" s="382"/>
      <c r="J434" s="382"/>
      <c r="K434" s="382"/>
      <c r="L434" s="382"/>
      <c r="M434" s="382"/>
      <c r="N434" s="382"/>
      <c r="O434" s="382"/>
      <c r="P434" s="382"/>
      <c r="Q434" s="382"/>
      <c r="R434" s="382"/>
      <c r="S434" s="382"/>
      <c r="T434" s="382"/>
      <c r="U434" s="382"/>
      <c r="V434" s="382"/>
      <c r="W434" s="382"/>
      <c r="X434" s="382"/>
      <c r="Y434" s="382"/>
      <c r="Z434" s="382"/>
      <c r="AA434" s="382"/>
      <c r="AB434" s="382"/>
      <c r="AC434" s="382"/>
      <c r="AD434" s="382"/>
      <c r="AE434" s="382"/>
      <c r="AF434" s="382"/>
      <c r="AG434" s="382"/>
      <c r="AH434" s="382"/>
      <c r="AI434" s="382"/>
      <c r="AJ434" s="382"/>
      <c r="AK434" s="382"/>
      <c r="AL434" s="382"/>
      <c r="AM434" s="382"/>
    </row>
    <row r="435" spans="2:39" ht="27.75" customHeight="1">
      <c r="B435" s="382"/>
      <c r="C435" s="382"/>
      <c r="D435" s="382"/>
      <c r="E435" s="382"/>
      <c r="F435" s="382"/>
      <c r="G435" s="382"/>
      <c r="H435" s="382"/>
      <c r="I435" s="382"/>
      <c r="J435" s="382"/>
      <c r="K435" s="382"/>
      <c r="L435" s="382"/>
      <c r="M435" s="382"/>
      <c r="N435" s="382"/>
      <c r="O435" s="382"/>
      <c r="P435" s="382"/>
      <c r="Q435" s="382"/>
      <c r="R435" s="382"/>
      <c r="S435" s="382"/>
      <c r="T435" s="382"/>
      <c r="U435" s="382"/>
      <c r="V435" s="382"/>
      <c r="W435" s="382"/>
      <c r="X435" s="382"/>
      <c r="Y435" s="382"/>
      <c r="Z435" s="382"/>
      <c r="AA435" s="382"/>
      <c r="AB435" s="382"/>
      <c r="AC435" s="382"/>
      <c r="AD435" s="382"/>
      <c r="AE435" s="382"/>
      <c r="AF435" s="382"/>
      <c r="AG435" s="382"/>
      <c r="AH435" s="382"/>
      <c r="AI435" s="382"/>
      <c r="AJ435" s="382"/>
      <c r="AK435" s="382"/>
      <c r="AL435" s="382"/>
      <c r="AM435" s="382"/>
    </row>
    <row r="436" spans="2:39" ht="27.75" customHeight="1">
      <c r="B436" s="382"/>
      <c r="C436" s="382"/>
      <c r="D436" s="382"/>
      <c r="E436" s="382"/>
      <c r="F436" s="382"/>
      <c r="G436" s="382"/>
      <c r="H436" s="382"/>
      <c r="I436" s="382"/>
      <c r="J436" s="382"/>
      <c r="K436" s="382"/>
      <c r="L436" s="382"/>
      <c r="M436" s="382"/>
      <c r="N436" s="382"/>
      <c r="O436" s="382"/>
      <c r="P436" s="382"/>
      <c r="Q436" s="382"/>
      <c r="R436" s="382"/>
      <c r="S436" s="382"/>
      <c r="T436" s="382"/>
      <c r="U436" s="382"/>
      <c r="V436" s="382"/>
      <c r="W436" s="382"/>
      <c r="X436" s="382"/>
      <c r="Y436" s="382"/>
      <c r="Z436" s="382"/>
      <c r="AA436" s="382"/>
      <c r="AB436" s="382"/>
      <c r="AC436" s="382"/>
      <c r="AD436" s="382"/>
      <c r="AE436" s="382"/>
      <c r="AF436" s="382"/>
      <c r="AG436" s="382"/>
      <c r="AH436" s="382"/>
      <c r="AI436" s="382"/>
      <c r="AJ436" s="382"/>
      <c r="AK436" s="382"/>
      <c r="AL436" s="382"/>
      <c r="AM436" s="382"/>
    </row>
    <row r="437" spans="2:39" ht="27.75" customHeight="1">
      <c r="B437" s="382"/>
      <c r="C437" s="382"/>
      <c r="D437" s="382"/>
      <c r="E437" s="382"/>
      <c r="F437" s="382"/>
      <c r="G437" s="382"/>
      <c r="H437" s="382"/>
      <c r="I437" s="382"/>
      <c r="J437" s="382"/>
      <c r="K437" s="382"/>
      <c r="L437" s="382"/>
      <c r="M437" s="382"/>
      <c r="N437" s="382"/>
      <c r="O437" s="382"/>
      <c r="P437" s="382"/>
      <c r="Q437" s="382"/>
      <c r="R437" s="382"/>
      <c r="S437" s="382"/>
      <c r="T437" s="382"/>
      <c r="U437" s="382"/>
      <c r="V437" s="382"/>
      <c r="W437" s="382"/>
      <c r="X437" s="382"/>
      <c r="Y437" s="382"/>
      <c r="Z437" s="382"/>
      <c r="AA437" s="382"/>
      <c r="AB437" s="382"/>
      <c r="AC437" s="382"/>
      <c r="AD437" s="382"/>
      <c r="AE437" s="382"/>
      <c r="AF437" s="382"/>
      <c r="AG437" s="382"/>
      <c r="AH437" s="382"/>
      <c r="AI437" s="382"/>
      <c r="AJ437" s="382"/>
      <c r="AK437" s="382"/>
      <c r="AL437" s="382"/>
      <c r="AM437" s="382"/>
    </row>
    <row r="438" spans="2:39" ht="27.75" customHeight="1">
      <c r="B438" s="382"/>
      <c r="C438" s="382"/>
      <c r="D438" s="382"/>
      <c r="E438" s="382"/>
      <c r="F438" s="382"/>
      <c r="G438" s="382"/>
      <c r="H438" s="382"/>
      <c r="I438" s="382"/>
      <c r="J438" s="382"/>
      <c r="K438" s="382"/>
      <c r="L438" s="382"/>
      <c r="M438" s="382"/>
      <c r="N438" s="382"/>
      <c r="O438" s="382"/>
      <c r="P438" s="382"/>
      <c r="Q438" s="382"/>
      <c r="R438" s="382"/>
      <c r="S438" s="382"/>
      <c r="T438" s="382"/>
      <c r="U438" s="382"/>
      <c r="V438" s="382"/>
      <c r="W438" s="382"/>
      <c r="X438" s="382"/>
      <c r="Y438" s="382"/>
      <c r="Z438" s="382"/>
      <c r="AA438" s="382"/>
      <c r="AB438" s="382"/>
      <c r="AC438" s="382"/>
      <c r="AD438" s="382"/>
      <c r="AE438" s="382"/>
      <c r="AF438" s="382"/>
      <c r="AG438" s="382"/>
      <c r="AH438" s="382"/>
      <c r="AI438" s="382"/>
      <c r="AJ438" s="382"/>
      <c r="AK438" s="382"/>
      <c r="AL438" s="382"/>
      <c r="AM438" s="382"/>
    </row>
    <row r="439" spans="2:39" ht="27.75" customHeight="1">
      <c r="B439" s="382"/>
      <c r="C439" s="382"/>
      <c r="D439" s="382"/>
      <c r="E439" s="382"/>
      <c r="F439" s="382"/>
      <c r="G439" s="382"/>
      <c r="H439" s="382"/>
      <c r="I439" s="382"/>
      <c r="J439" s="382"/>
      <c r="K439" s="382"/>
      <c r="L439" s="382"/>
      <c r="M439" s="382"/>
      <c r="N439" s="382"/>
      <c r="O439" s="382"/>
      <c r="P439" s="382"/>
      <c r="Q439" s="382"/>
      <c r="R439" s="382"/>
      <c r="S439" s="382"/>
      <c r="T439" s="382"/>
      <c r="U439" s="382"/>
      <c r="V439" s="382"/>
      <c r="W439" s="382"/>
      <c r="X439" s="382"/>
      <c r="Y439" s="382"/>
      <c r="Z439" s="382"/>
      <c r="AA439" s="382"/>
      <c r="AB439" s="382"/>
      <c r="AC439" s="382"/>
      <c r="AD439" s="382"/>
      <c r="AE439" s="382"/>
      <c r="AF439" s="382"/>
      <c r="AG439" s="382"/>
      <c r="AH439" s="382"/>
      <c r="AI439" s="382"/>
      <c r="AJ439" s="382"/>
      <c r="AK439" s="382"/>
      <c r="AL439" s="382"/>
      <c r="AM439" s="382"/>
    </row>
    <row r="440" spans="2:39" ht="27.75" customHeight="1">
      <c r="B440" s="382"/>
      <c r="C440" s="382"/>
      <c r="D440" s="382"/>
      <c r="E440" s="382"/>
      <c r="F440" s="382"/>
      <c r="G440" s="382"/>
      <c r="H440" s="382"/>
      <c r="I440" s="382"/>
      <c r="J440" s="382"/>
      <c r="K440" s="382"/>
      <c r="L440" s="382"/>
      <c r="M440" s="382"/>
      <c r="N440" s="382"/>
      <c r="O440" s="382"/>
      <c r="P440" s="382"/>
      <c r="Q440" s="382"/>
      <c r="R440" s="382"/>
      <c r="S440" s="382"/>
      <c r="T440" s="382"/>
      <c r="U440" s="382"/>
      <c r="V440" s="382"/>
      <c r="W440" s="382"/>
      <c r="X440" s="382"/>
      <c r="Y440" s="382"/>
      <c r="Z440" s="382"/>
      <c r="AA440" s="382"/>
      <c r="AB440" s="382"/>
      <c r="AC440" s="382"/>
      <c r="AD440" s="382"/>
      <c r="AE440" s="382"/>
      <c r="AF440" s="382"/>
      <c r="AG440" s="382"/>
      <c r="AH440" s="382"/>
      <c r="AI440" s="382"/>
      <c r="AJ440" s="382"/>
      <c r="AK440" s="382"/>
      <c r="AL440" s="382"/>
      <c r="AM440" s="382"/>
    </row>
    <row r="441" spans="2:39" ht="27.75" customHeight="1">
      <c r="B441" s="382"/>
      <c r="C441" s="382"/>
      <c r="D441" s="382"/>
      <c r="E441" s="382"/>
      <c r="F441" s="382"/>
      <c r="G441" s="382"/>
      <c r="H441" s="382"/>
      <c r="I441" s="382"/>
      <c r="J441" s="382"/>
      <c r="K441" s="382"/>
      <c r="L441" s="382"/>
      <c r="M441" s="382"/>
      <c r="N441" s="382"/>
      <c r="O441" s="382"/>
      <c r="P441" s="382"/>
      <c r="Q441" s="382"/>
      <c r="R441" s="382"/>
      <c r="S441" s="382"/>
      <c r="T441" s="382"/>
      <c r="U441" s="382"/>
      <c r="V441" s="382"/>
      <c r="W441" s="382"/>
      <c r="X441" s="382"/>
      <c r="Y441" s="382"/>
      <c r="Z441" s="382"/>
      <c r="AA441" s="382"/>
      <c r="AB441" s="382"/>
      <c r="AC441" s="382"/>
      <c r="AD441" s="382"/>
      <c r="AE441" s="382"/>
      <c r="AF441" s="382"/>
      <c r="AG441" s="382"/>
      <c r="AH441" s="382"/>
      <c r="AI441" s="382"/>
      <c r="AJ441" s="382"/>
      <c r="AK441" s="382"/>
      <c r="AL441" s="382"/>
      <c r="AM441" s="382"/>
    </row>
    <row r="442" spans="2:39" ht="27.75" customHeight="1">
      <c r="B442" s="382"/>
      <c r="C442" s="382"/>
      <c r="D442" s="382"/>
      <c r="E442" s="382"/>
      <c r="F442" s="382"/>
      <c r="G442" s="382"/>
      <c r="H442" s="382"/>
      <c r="I442" s="382"/>
      <c r="J442" s="382"/>
      <c r="K442" s="382"/>
      <c r="L442" s="382"/>
      <c r="M442" s="382"/>
      <c r="N442" s="382"/>
      <c r="O442" s="382"/>
      <c r="P442" s="382"/>
      <c r="Q442" s="382"/>
      <c r="R442" s="382"/>
      <c r="S442" s="382"/>
      <c r="T442" s="382"/>
      <c r="U442" s="382"/>
      <c r="V442" s="382"/>
      <c r="W442" s="382"/>
      <c r="X442" s="382"/>
      <c r="Y442" s="382"/>
      <c r="Z442" s="382"/>
      <c r="AA442" s="382"/>
      <c r="AB442" s="382"/>
      <c r="AC442" s="382"/>
      <c r="AD442" s="382"/>
      <c r="AE442" s="382"/>
      <c r="AF442" s="382"/>
      <c r="AG442" s="382"/>
      <c r="AH442" s="382"/>
      <c r="AI442" s="382"/>
      <c r="AJ442" s="382"/>
      <c r="AK442" s="382"/>
      <c r="AL442" s="382"/>
      <c r="AM442" s="382"/>
    </row>
    <row r="443" spans="2:39" ht="27.75" customHeight="1">
      <c r="B443" s="382"/>
      <c r="C443" s="382"/>
      <c r="D443" s="382"/>
      <c r="E443" s="382"/>
      <c r="F443" s="382"/>
      <c r="G443" s="382"/>
      <c r="H443" s="382"/>
      <c r="I443" s="382"/>
      <c r="J443" s="382"/>
      <c r="K443" s="382"/>
      <c r="L443" s="382"/>
      <c r="M443" s="382"/>
      <c r="N443" s="382"/>
      <c r="O443" s="382"/>
      <c r="P443" s="382"/>
      <c r="Q443" s="382"/>
      <c r="R443" s="382"/>
      <c r="S443" s="382"/>
      <c r="T443" s="382"/>
      <c r="U443" s="382"/>
      <c r="V443" s="382"/>
      <c r="W443" s="382"/>
      <c r="X443" s="382"/>
      <c r="Y443" s="382"/>
      <c r="Z443" s="382"/>
      <c r="AA443" s="382"/>
      <c r="AB443" s="382"/>
      <c r="AC443" s="382"/>
      <c r="AD443" s="382"/>
      <c r="AE443" s="382"/>
      <c r="AF443" s="382"/>
      <c r="AG443" s="382"/>
      <c r="AH443" s="382"/>
      <c r="AI443" s="382"/>
      <c r="AJ443" s="382"/>
      <c r="AK443" s="382"/>
      <c r="AL443" s="382"/>
      <c r="AM443" s="382"/>
    </row>
    <row r="444" spans="2:39" ht="27.75" customHeight="1">
      <c r="B444" s="382"/>
      <c r="C444" s="382"/>
      <c r="D444" s="382"/>
      <c r="E444" s="382"/>
      <c r="F444" s="382"/>
      <c r="G444" s="382"/>
      <c r="H444" s="382"/>
      <c r="I444" s="382"/>
      <c r="J444" s="382"/>
      <c r="K444" s="382"/>
      <c r="L444" s="382"/>
      <c r="M444" s="382"/>
      <c r="N444" s="382"/>
      <c r="O444" s="382"/>
      <c r="P444" s="382"/>
      <c r="Q444" s="382"/>
      <c r="R444" s="382"/>
      <c r="S444" s="382"/>
      <c r="T444" s="382"/>
      <c r="U444" s="382"/>
      <c r="V444" s="382"/>
      <c r="W444" s="382"/>
      <c r="X444" s="382"/>
      <c r="Y444" s="382"/>
      <c r="Z444" s="382"/>
      <c r="AA444" s="382"/>
      <c r="AB444" s="382"/>
      <c r="AC444" s="382"/>
      <c r="AD444" s="382"/>
      <c r="AE444" s="382"/>
      <c r="AF444" s="382"/>
      <c r="AG444" s="382"/>
      <c r="AH444" s="382"/>
      <c r="AI444" s="382"/>
      <c r="AJ444" s="382"/>
      <c r="AK444" s="382"/>
      <c r="AL444" s="382"/>
      <c r="AM444" s="382"/>
    </row>
    <row r="445" spans="2:39" ht="27.75" customHeight="1">
      <c r="B445" s="382"/>
      <c r="C445" s="382"/>
      <c r="D445" s="382"/>
      <c r="E445" s="382"/>
      <c r="F445" s="382"/>
      <c r="G445" s="382"/>
      <c r="H445" s="382"/>
      <c r="I445" s="382"/>
      <c r="J445" s="382"/>
      <c r="K445" s="382"/>
      <c r="L445" s="382"/>
      <c r="M445" s="382"/>
      <c r="N445" s="382"/>
      <c r="O445" s="382"/>
      <c r="P445" s="382"/>
      <c r="Q445" s="382"/>
      <c r="R445" s="382"/>
      <c r="S445" s="382"/>
      <c r="T445" s="382"/>
      <c r="U445" s="382"/>
      <c r="V445" s="382"/>
      <c r="W445" s="382"/>
      <c r="X445" s="382"/>
      <c r="Y445" s="382"/>
      <c r="Z445" s="382"/>
      <c r="AA445" s="382"/>
      <c r="AB445" s="382"/>
      <c r="AC445" s="382"/>
      <c r="AD445" s="382"/>
      <c r="AE445" s="382"/>
      <c r="AF445" s="382"/>
      <c r="AG445" s="382"/>
      <c r="AH445" s="382"/>
      <c r="AI445" s="382"/>
      <c r="AJ445" s="382"/>
      <c r="AK445" s="382"/>
      <c r="AL445" s="382"/>
      <c r="AM445" s="382"/>
    </row>
    <row r="446" spans="2:39" ht="27.75" customHeight="1">
      <c r="B446" s="382"/>
      <c r="C446" s="382"/>
      <c r="D446" s="382"/>
      <c r="E446" s="382"/>
      <c r="F446" s="382"/>
      <c r="G446" s="382"/>
      <c r="H446" s="382"/>
      <c r="I446" s="382"/>
      <c r="J446" s="382"/>
      <c r="K446" s="382"/>
      <c r="L446" s="382"/>
      <c r="M446" s="382"/>
      <c r="N446" s="382"/>
      <c r="O446" s="382"/>
      <c r="P446" s="382"/>
      <c r="Q446" s="382"/>
      <c r="R446" s="382"/>
      <c r="S446" s="382"/>
      <c r="T446" s="382"/>
      <c r="U446" s="382"/>
      <c r="V446" s="382"/>
      <c r="W446" s="382"/>
      <c r="X446" s="382"/>
      <c r="Y446" s="382"/>
      <c r="Z446" s="382"/>
      <c r="AA446" s="382"/>
      <c r="AB446" s="382"/>
      <c r="AC446" s="382"/>
      <c r="AD446" s="382"/>
      <c r="AE446" s="382"/>
      <c r="AF446" s="382"/>
      <c r="AG446" s="382"/>
      <c r="AH446" s="382"/>
      <c r="AI446" s="382"/>
      <c r="AJ446" s="382"/>
      <c r="AK446" s="382"/>
      <c r="AL446" s="382"/>
      <c r="AM446" s="382"/>
    </row>
    <row r="447" spans="2:39" ht="27.75" customHeight="1">
      <c r="B447" s="382"/>
      <c r="C447" s="382"/>
      <c r="D447" s="382"/>
      <c r="E447" s="382"/>
      <c r="F447" s="382"/>
      <c r="G447" s="382"/>
      <c r="H447" s="382"/>
      <c r="I447" s="382"/>
      <c r="J447" s="382"/>
      <c r="K447" s="382"/>
      <c r="L447" s="382"/>
      <c r="M447" s="382"/>
      <c r="N447" s="382"/>
      <c r="O447" s="382"/>
      <c r="P447" s="382"/>
      <c r="Q447" s="382"/>
      <c r="R447" s="382"/>
      <c r="S447" s="382"/>
      <c r="T447" s="382"/>
      <c r="U447" s="382"/>
      <c r="V447" s="382"/>
      <c r="W447" s="382"/>
      <c r="X447" s="382"/>
      <c r="Y447" s="382"/>
      <c r="Z447" s="382"/>
      <c r="AA447" s="382"/>
      <c r="AB447" s="382"/>
      <c r="AC447" s="382"/>
      <c r="AD447" s="382"/>
      <c r="AE447" s="382"/>
      <c r="AF447" s="382"/>
      <c r="AG447" s="382"/>
      <c r="AH447" s="382"/>
      <c r="AI447" s="382"/>
      <c r="AJ447" s="382"/>
      <c r="AK447" s="382"/>
      <c r="AL447" s="382"/>
      <c r="AM447" s="382"/>
    </row>
    <row r="448" spans="2:39" ht="27.75" customHeight="1">
      <c r="B448" s="382"/>
      <c r="C448" s="382"/>
      <c r="D448" s="382"/>
      <c r="E448" s="382"/>
      <c r="F448" s="382"/>
      <c r="G448" s="382"/>
      <c r="H448" s="382"/>
      <c r="I448" s="382"/>
      <c r="J448" s="382"/>
      <c r="K448" s="382"/>
      <c r="L448" s="382"/>
      <c r="M448" s="382"/>
      <c r="N448" s="382"/>
      <c r="O448" s="382"/>
      <c r="P448" s="382"/>
      <c r="Q448" s="382"/>
      <c r="R448" s="382"/>
      <c r="S448" s="382"/>
      <c r="T448" s="382"/>
      <c r="U448" s="382"/>
      <c r="V448" s="382"/>
      <c r="W448" s="382"/>
      <c r="X448" s="382"/>
      <c r="Y448" s="382"/>
      <c r="Z448" s="382"/>
      <c r="AA448" s="382"/>
      <c r="AB448" s="382"/>
      <c r="AC448" s="382"/>
      <c r="AD448" s="382"/>
      <c r="AE448" s="382"/>
      <c r="AF448" s="382"/>
      <c r="AG448" s="382"/>
      <c r="AH448" s="382"/>
      <c r="AI448" s="382"/>
      <c r="AJ448" s="382"/>
      <c r="AK448" s="382"/>
      <c r="AL448" s="382"/>
      <c r="AM448" s="382"/>
    </row>
    <row r="449" spans="2:39" ht="27.75" customHeight="1">
      <c r="B449" s="382"/>
      <c r="C449" s="382"/>
      <c r="D449" s="382"/>
      <c r="E449" s="382"/>
      <c r="F449" s="382"/>
      <c r="G449" s="382"/>
      <c r="H449" s="382"/>
      <c r="I449" s="382"/>
      <c r="J449" s="382"/>
      <c r="K449" s="382"/>
      <c r="L449" s="382"/>
      <c r="M449" s="382"/>
      <c r="N449" s="382"/>
      <c r="O449" s="382"/>
      <c r="P449" s="382"/>
      <c r="Q449" s="382"/>
      <c r="R449" s="382"/>
      <c r="S449" s="382"/>
      <c r="T449" s="382"/>
      <c r="U449" s="382"/>
      <c r="V449" s="382"/>
      <c r="W449" s="382"/>
      <c r="X449" s="382"/>
      <c r="Y449" s="382"/>
      <c r="Z449" s="382"/>
      <c r="AA449" s="382"/>
      <c r="AB449" s="382"/>
      <c r="AC449" s="382"/>
      <c r="AD449" s="382"/>
      <c r="AE449" s="382"/>
      <c r="AF449" s="382"/>
      <c r="AG449" s="382"/>
      <c r="AH449" s="382"/>
      <c r="AI449" s="382"/>
      <c r="AJ449" s="382"/>
      <c r="AK449" s="382"/>
      <c r="AL449" s="382"/>
      <c r="AM449" s="382"/>
    </row>
    <row r="450" spans="2:39" ht="27.75" customHeight="1">
      <c r="B450" s="382"/>
      <c r="C450" s="382"/>
      <c r="D450" s="382"/>
      <c r="E450" s="382"/>
      <c r="F450" s="382"/>
      <c r="G450" s="382"/>
      <c r="H450" s="382"/>
      <c r="I450" s="382"/>
      <c r="J450" s="382"/>
      <c r="K450" s="382"/>
      <c r="L450" s="382"/>
      <c r="M450" s="382"/>
      <c r="N450" s="382"/>
      <c r="O450" s="382"/>
      <c r="P450" s="382"/>
      <c r="Q450" s="382"/>
      <c r="R450" s="382"/>
      <c r="S450" s="382"/>
      <c r="T450" s="382"/>
      <c r="U450" s="382"/>
      <c r="V450" s="382"/>
      <c r="W450" s="382"/>
      <c r="X450" s="382"/>
      <c r="Y450" s="382"/>
      <c r="Z450" s="382"/>
      <c r="AA450" s="382"/>
      <c r="AB450" s="382"/>
      <c r="AC450" s="382"/>
      <c r="AD450" s="382"/>
      <c r="AE450" s="382"/>
      <c r="AF450" s="382"/>
      <c r="AG450" s="382"/>
      <c r="AH450" s="382"/>
      <c r="AI450" s="382"/>
      <c r="AJ450" s="382"/>
      <c r="AK450" s="382"/>
      <c r="AL450" s="382"/>
      <c r="AM450" s="382"/>
    </row>
    <row r="451" spans="2:39" ht="27.75" customHeight="1">
      <c r="B451" s="382"/>
      <c r="C451" s="382"/>
      <c r="D451" s="382"/>
      <c r="E451" s="382"/>
      <c r="F451" s="382"/>
      <c r="G451" s="382"/>
      <c r="H451" s="382"/>
      <c r="I451" s="382"/>
      <c r="J451" s="382"/>
      <c r="K451" s="382"/>
      <c r="L451" s="382"/>
      <c r="M451" s="382"/>
      <c r="N451" s="382"/>
      <c r="O451" s="382"/>
      <c r="P451" s="382"/>
      <c r="Q451" s="382"/>
      <c r="R451" s="382"/>
      <c r="S451" s="382"/>
      <c r="T451" s="382"/>
      <c r="U451" s="382"/>
      <c r="V451" s="382"/>
      <c r="W451" s="382"/>
      <c r="X451" s="382"/>
      <c r="Y451" s="382"/>
      <c r="Z451" s="382"/>
      <c r="AA451" s="382"/>
      <c r="AB451" s="382"/>
      <c r="AC451" s="382"/>
      <c r="AD451" s="382"/>
      <c r="AE451" s="382"/>
      <c r="AF451" s="382"/>
      <c r="AG451" s="382"/>
      <c r="AH451" s="382"/>
      <c r="AI451" s="382"/>
      <c r="AJ451" s="382"/>
      <c r="AK451" s="382"/>
      <c r="AL451" s="382"/>
      <c r="AM451" s="382"/>
    </row>
    <row r="452" spans="2:39" ht="27.75" customHeight="1">
      <c r="B452" s="382"/>
      <c r="C452" s="382"/>
      <c r="D452" s="382"/>
      <c r="E452" s="382"/>
      <c r="F452" s="382"/>
      <c r="G452" s="382"/>
      <c r="H452" s="382"/>
      <c r="I452" s="382"/>
      <c r="J452" s="382"/>
      <c r="K452" s="382"/>
      <c r="L452" s="382"/>
      <c r="M452" s="382"/>
      <c r="N452" s="382"/>
      <c r="O452" s="382"/>
      <c r="P452" s="382"/>
      <c r="Q452" s="382"/>
      <c r="R452" s="382"/>
      <c r="S452" s="382"/>
      <c r="T452" s="382"/>
      <c r="U452" s="382"/>
      <c r="V452" s="382"/>
      <c r="W452" s="382"/>
      <c r="X452" s="382"/>
      <c r="Y452" s="382"/>
      <c r="Z452" s="382"/>
      <c r="AA452" s="382"/>
      <c r="AB452" s="382"/>
      <c r="AC452" s="382"/>
      <c r="AD452" s="382"/>
      <c r="AE452" s="382"/>
      <c r="AF452" s="382"/>
      <c r="AG452" s="382"/>
      <c r="AH452" s="382"/>
      <c r="AI452" s="382"/>
      <c r="AJ452" s="382"/>
      <c r="AK452" s="382"/>
      <c r="AL452" s="382"/>
      <c r="AM452" s="382"/>
    </row>
    <row r="453" spans="2:39" ht="27.75" customHeight="1">
      <c r="B453" s="382"/>
      <c r="C453" s="382"/>
      <c r="D453" s="382"/>
      <c r="E453" s="382"/>
      <c r="F453" s="382"/>
      <c r="G453" s="382"/>
      <c r="H453" s="382"/>
      <c r="I453" s="382"/>
      <c r="J453" s="382"/>
      <c r="K453" s="382"/>
      <c r="L453" s="382"/>
      <c r="M453" s="382"/>
      <c r="N453" s="382"/>
      <c r="O453" s="382"/>
      <c r="P453" s="382"/>
      <c r="Q453" s="382"/>
      <c r="R453" s="382"/>
      <c r="S453" s="382"/>
      <c r="T453" s="382"/>
      <c r="U453" s="382"/>
      <c r="V453" s="382"/>
      <c r="W453" s="382"/>
      <c r="X453" s="382"/>
      <c r="Y453" s="382"/>
      <c r="Z453" s="382"/>
      <c r="AA453" s="382"/>
      <c r="AB453" s="382"/>
      <c r="AC453" s="382"/>
      <c r="AD453" s="382"/>
      <c r="AE453" s="382"/>
      <c r="AF453" s="382"/>
      <c r="AG453" s="382"/>
      <c r="AH453" s="382"/>
      <c r="AI453" s="382"/>
      <c r="AJ453" s="382"/>
      <c r="AK453" s="382"/>
      <c r="AL453" s="382"/>
      <c r="AM453" s="382"/>
    </row>
    <row r="454" spans="2:39" ht="27.75" customHeight="1">
      <c r="B454" s="382"/>
      <c r="C454" s="382"/>
      <c r="D454" s="382"/>
      <c r="E454" s="382"/>
      <c r="F454" s="382"/>
      <c r="G454" s="382"/>
      <c r="H454" s="382"/>
      <c r="I454" s="382"/>
      <c r="J454" s="382"/>
      <c r="K454" s="382"/>
      <c r="L454" s="382"/>
      <c r="M454" s="382"/>
      <c r="N454" s="382"/>
      <c r="O454" s="382"/>
      <c r="P454" s="382"/>
      <c r="Q454" s="382"/>
      <c r="R454" s="382"/>
      <c r="S454" s="382"/>
      <c r="T454" s="382"/>
      <c r="U454" s="382"/>
      <c r="V454" s="382"/>
      <c r="W454" s="382"/>
      <c r="X454" s="382"/>
      <c r="Y454" s="382"/>
      <c r="Z454" s="382"/>
      <c r="AA454" s="382"/>
      <c r="AB454" s="382"/>
      <c r="AC454" s="382"/>
      <c r="AD454" s="382"/>
      <c r="AE454" s="382"/>
      <c r="AF454" s="382"/>
      <c r="AG454" s="382"/>
      <c r="AH454" s="382"/>
      <c r="AI454" s="382"/>
      <c r="AJ454" s="382"/>
      <c r="AK454" s="382"/>
      <c r="AL454" s="382"/>
      <c r="AM454" s="382"/>
    </row>
    <row r="455" spans="2:39" ht="27.75" customHeight="1">
      <c r="B455" s="382"/>
      <c r="C455" s="382"/>
      <c r="D455" s="382"/>
      <c r="E455" s="382"/>
      <c r="F455" s="382"/>
      <c r="G455" s="382"/>
      <c r="H455" s="382"/>
      <c r="I455" s="382"/>
      <c r="J455" s="382"/>
      <c r="K455" s="382"/>
      <c r="L455" s="382"/>
      <c r="M455" s="382"/>
      <c r="N455" s="382"/>
      <c r="O455" s="382"/>
      <c r="P455" s="382"/>
      <c r="Q455" s="382"/>
      <c r="R455" s="382"/>
      <c r="S455" s="382"/>
      <c r="T455" s="382"/>
      <c r="U455" s="382"/>
      <c r="V455" s="382"/>
      <c r="W455" s="382"/>
      <c r="X455" s="382"/>
      <c r="Y455" s="382"/>
      <c r="Z455" s="382"/>
      <c r="AA455" s="382"/>
      <c r="AB455" s="382"/>
      <c r="AC455" s="382"/>
      <c r="AD455" s="382"/>
      <c r="AE455" s="382"/>
      <c r="AF455" s="382"/>
      <c r="AG455" s="382"/>
      <c r="AH455" s="382"/>
      <c r="AI455" s="382"/>
      <c r="AJ455" s="382"/>
      <c r="AK455" s="382"/>
      <c r="AL455" s="382"/>
      <c r="AM455" s="382"/>
    </row>
    <row r="456" spans="2:39" ht="27.75" customHeight="1">
      <c r="B456" s="382"/>
      <c r="C456" s="382"/>
      <c r="D456" s="382"/>
      <c r="E456" s="382"/>
      <c r="F456" s="382"/>
      <c r="G456" s="382"/>
      <c r="H456" s="382"/>
      <c r="I456" s="382"/>
      <c r="J456" s="382"/>
      <c r="K456" s="382"/>
      <c r="L456" s="382"/>
      <c r="M456" s="382"/>
      <c r="N456" s="382"/>
      <c r="O456" s="382"/>
      <c r="P456" s="382"/>
      <c r="Q456" s="382"/>
      <c r="R456" s="382"/>
      <c r="S456" s="382"/>
      <c r="T456" s="382"/>
      <c r="U456" s="382"/>
      <c r="V456" s="382"/>
      <c r="W456" s="382"/>
      <c r="X456" s="382"/>
      <c r="Y456" s="382"/>
      <c r="Z456" s="382"/>
      <c r="AA456" s="382"/>
      <c r="AB456" s="382"/>
      <c r="AC456" s="382"/>
      <c r="AD456" s="382"/>
      <c r="AE456" s="382"/>
      <c r="AF456" s="382"/>
      <c r="AG456" s="382"/>
      <c r="AH456" s="382"/>
      <c r="AI456" s="382"/>
      <c r="AJ456" s="382"/>
      <c r="AK456" s="382"/>
      <c r="AL456" s="382"/>
      <c r="AM456" s="382"/>
    </row>
    <row r="457" spans="2:39" ht="27.75" customHeight="1">
      <c r="B457" s="382"/>
      <c r="C457" s="382"/>
      <c r="D457" s="382"/>
      <c r="E457" s="382"/>
      <c r="F457" s="382"/>
      <c r="G457" s="382"/>
      <c r="H457" s="382"/>
      <c r="I457" s="382"/>
      <c r="J457" s="382"/>
      <c r="K457" s="382"/>
      <c r="L457" s="382"/>
      <c r="M457" s="382"/>
      <c r="N457" s="382"/>
      <c r="O457" s="382"/>
      <c r="P457" s="382"/>
      <c r="Q457" s="382"/>
      <c r="R457" s="382"/>
      <c r="S457" s="382"/>
      <c r="T457" s="382"/>
      <c r="U457" s="382"/>
      <c r="V457" s="382"/>
      <c r="W457" s="382"/>
      <c r="X457" s="382"/>
      <c r="Y457" s="382"/>
      <c r="Z457" s="382"/>
      <c r="AA457" s="382"/>
      <c r="AB457" s="382"/>
      <c r="AC457" s="382"/>
      <c r="AD457" s="382"/>
      <c r="AE457" s="382"/>
      <c r="AF457" s="382"/>
      <c r="AG457" s="382"/>
      <c r="AH457" s="382"/>
      <c r="AI457" s="382"/>
      <c r="AJ457" s="382"/>
      <c r="AK457" s="382"/>
      <c r="AL457" s="382"/>
      <c r="AM457" s="382"/>
    </row>
    <row r="458" spans="2:39" ht="27.75" customHeight="1">
      <c r="B458" s="382"/>
      <c r="C458" s="382"/>
      <c r="D458" s="382"/>
      <c r="E458" s="382"/>
      <c r="F458" s="382"/>
      <c r="G458" s="382"/>
      <c r="H458" s="382"/>
      <c r="I458" s="382"/>
      <c r="J458" s="382"/>
      <c r="K458" s="382"/>
      <c r="L458" s="382"/>
      <c r="M458" s="382"/>
      <c r="N458" s="382"/>
      <c r="O458" s="382"/>
      <c r="P458" s="382"/>
      <c r="Q458" s="382"/>
      <c r="R458" s="382"/>
      <c r="S458" s="382"/>
      <c r="T458" s="382"/>
      <c r="U458" s="382"/>
      <c r="V458" s="382"/>
      <c r="W458" s="382"/>
      <c r="X458" s="382"/>
      <c r="Y458" s="382"/>
      <c r="Z458" s="382"/>
      <c r="AA458" s="382"/>
      <c r="AB458" s="382"/>
      <c r="AC458" s="382"/>
      <c r="AD458" s="382"/>
      <c r="AE458" s="382"/>
      <c r="AF458" s="382"/>
      <c r="AG458" s="382"/>
      <c r="AH458" s="382"/>
      <c r="AI458" s="382"/>
      <c r="AJ458" s="382"/>
      <c r="AK458" s="382"/>
      <c r="AL458" s="382"/>
      <c r="AM458" s="382"/>
    </row>
    <row r="459" spans="2:39" ht="27.75" customHeight="1">
      <c r="B459" s="382"/>
      <c r="C459" s="382"/>
      <c r="D459" s="382"/>
      <c r="E459" s="382"/>
      <c r="F459" s="382"/>
      <c r="G459" s="382"/>
      <c r="H459" s="382"/>
      <c r="I459" s="382"/>
      <c r="J459" s="382"/>
      <c r="K459" s="382"/>
      <c r="L459" s="382"/>
      <c r="M459" s="382"/>
      <c r="N459" s="382"/>
      <c r="O459" s="382"/>
      <c r="P459" s="382"/>
      <c r="Q459" s="382"/>
      <c r="R459" s="382"/>
      <c r="S459" s="382"/>
      <c r="T459" s="382"/>
      <c r="U459" s="382"/>
      <c r="V459" s="382"/>
      <c r="W459" s="382"/>
      <c r="X459" s="382"/>
      <c r="Y459" s="382"/>
      <c r="Z459" s="382"/>
      <c r="AA459" s="382"/>
      <c r="AB459" s="382"/>
      <c r="AC459" s="382"/>
      <c r="AD459" s="382"/>
      <c r="AE459" s="382"/>
      <c r="AF459" s="382"/>
      <c r="AG459" s="382"/>
      <c r="AH459" s="382"/>
      <c r="AI459" s="382"/>
      <c r="AJ459" s="382"/>
      <c r="AK459" s="382"/>
      <c r="AL459" s="382"/>
      <c r="AM459" s="382"/>
    </row>
    <row r="460" spans="2:39" ht="27.75" customHeight="1">
      <c r="B460" s="382"/>
      <c r="C460" s="382"/>
      <c r="D460" s="382"/>
      <c r="E460" s="382"/>
      <c r="F460" s="382"/>
      <c r="G460" s="382"/>
      <c r="H460" s="382"/>
      <c r="I460" s="382"/>
      <c r="J460" s="382"/>
      <c r="K460" s="382"/>
      <c r="L460" s="382"/>
      <c r="M460" s="382"/>
      <c r="N460" s="382"/>
      <c r="O460" s="382"/>
      <c r="P460" s="382"/>
      <c r="Q460" s="382"/>
      <c r="R460" s="382"/>
      <c r="S460" s="382"/>
      <c r="T460" s="382"/>
      <c r="U460" s="382"/>
      <c r="V460" s="382"/>
      <c r="W460" s="382"/>
      <c r="X460" s="382"/>
      <c r="Y460" s="382"/>
      <c r="Z460" s="382"/>
      <c r="AA460" s="382"/>
      <c r="AB460" s="382"/>
      <c r="AC460" s="382"/>
      <c r="AD460" s="382"/>
      <c r="AE460" s="382"/>
      <c r="AF460" s="382"/>
      <c r="AG460" s="382"/>
      <c r="AH460" s="382"/>
      <c r="AI460" s="382"/>
      <c r="AJ460" s="382"/>
      <c r="AK460" s="382"/>
      <c r="AL460" s="382"/>
      <c r="AM460" s="382"/>
    </row>
    <row r="461" spans="2:39" ht="27.75" customHeight="1">
      <c r="B461" s="382"/>
      <c r="C461" s="382"/>
      <c r="D461" s="382"/>
      <c r="E461" s="382"/>
      <c r="F461" s="382"/>
      <c r="G461" s="382"/>
      <c r="H461" s="382"/>
      <c r="I461" s="382"/>
      <c r="J461" s="382"/>
      <c r="K461" s="382"/>
      <c r="L461" s="382"/>
      <c r="M461" s="382"/>
      <c r="N461" s="382"/>
      <c r="O461" s="382"/>
      <c r="P461" s="382"/>
      <c r="Q461" s="382"/>
      <c r="R461" s="382"/>
      <c r="S461" s="382"/>
      <c r="T461" s="382"/>
      <c r="U461" s="382"/>
      <c r="V461" s="382"/>
      <c r="W461" s="382"/>
      <c r="X461" s="382"/>
      <c r="Y461" s="382"/>
      <c r="Z461" s="382"/>
      <c r="AA461" s="382"/>
      <c r="AB461" s="382"/>
      <c r="AC461" s="382"/>
      <c r="AD461" s="382"/>
      <c r="AE461" s="382"/>
      <c r="AF461" s="382"/>
      <c r="AG461" s="382"/>
      <c r="AH461" s="382"/>
      <c r="AI461" s="382"/>
      <c r="AJ461" s="382"/>
      <c r="AK461" s="382"/>
      <c r="AL461" s="382"/>
      <c r="AM461" s="382"/>
    </row>
    <row r="462" spans="2:39" ht="27.75" customHeight="1">
      <c r="B462" s="382"/>
      <c r="C462" s="382"/>
      <c r="D462" s="382"/>
      <c r="E462" s="382"/>
      <c r="F462" s="382"/>
      <c r="G462" s="382"/>
      <c r="H462" s="382"/>
      <c r="I462" s="382"/>
      <c r="J462" s="382"/>
      <c r="K462" s="382"/>
      <c r="L462" s="382"/>
      <c r="M462" s="382"/>
      <c r="N462" s="382"/>
      <c r="O462" s="382"/>
      <c r="P462" s="382"/>
      <c r="Q462" s="382"/>
      <c r="R462" s="382"/>
      <c r="S462" s="382"/>
      <c r="T462" s="382"/>
      <c r="U462" s="382"/>
      <c r="V462" s="382"/>
      <c r="W462" s="382"/>
      <c r="X462" s="382"/>
      <c r="Y462" s="382"/>
      <c r="Z462" s="382"/>
      <c r="AA462" s="382"/>
      <c r="AB462" s="382"/>
      <c r="AC462" s="382"/>
      <c r="AD462" s="382"/>
      <c r="AE462" s="382"/>
      <c r="AF462" s="382"/>
      <c r="AG462" s="382"/>
      <c r="AH462" s="382"/>
      <c r="AI462" s="382"/>
      <c r="AJ462" s="382"/>
      <c r="AK462" s="382"/>
      <c r="AL462" s="382"/>
      <c r="AM462" s="382"/>
    </row>
    <row r="463" spans="2:39" ht="27.75" customHeight="1">
      <c r="B463" s="382"/>
      <c r="C463" s="382"/>
      <c r="D463" s="382"/>
      <c r="E463" s="382"/>
      <c r="F463" s="382"/>
      <c r="G463" s="382"/>
      <c r="H463" s="382"/>
      <c r="I463" s="382"/>
      <c r="J463" s="382"/>
      <c r="K463" s="382"/>
      <c r="L463" s="382"/>
      <c r="M463" s="382"/>
      <c r="N463" s="382"/>
      <c r="O463" s="382"/>
      <c r="P463" s="382"/>
      <c r="Q463" s="382"/>
      <c r="R463" s="382"/>
      <c r="S463" s="382"/>
      <c r="T463" s="382"/>
      <c r="U463" s="382"/>
      <c r="V463" s="382"/>
      <c r="W463" s="382"/>
      <c r="X463" s="382"/>
      <c r="Y463" s="382"/>
      <c r="Z463" s="382"/>
      <c r="AA463" s="382"/>
      <c r="AB463" s="382"/>
      <c r="AC463" s="382"/>
      <c r="AD463" s="382"/>
      <c r="AE463" s="382"/>
      <c r="AF463" s="382"/>
      <c r="AG463" s="382"/>
      <c r="AH463" s="382"/>
      <c r="AI463" s="382"/>
      <c r="AJ463" s="382"/>
      <c r="AK463" s="382"/>
      <c r="AL463" s="382"/>
      <c r="AM463" s="382"/>
    </row>
    <row r="464" spans="2:39" ht="27.75" customHeight="1">
      <c r="B464" s="382"/>
      <c r="C464" s="382"/>
      <c r="D464" s="382"/>
      <c r="E464" s="382"/>
      <c r="F464" s="382"/>
      <c r="G464" s="382"/>
      <c r="H464" s="382"/>
      <c r="I464" s="382"/>
      <c r="J464" s="382"/>
      <c r="K464" s="382"/>
      <c r="L464" s="382"/>
      <c r="M464" s="382"/>
      <c r="N464" s="382"/>
      <c r="O464" s="382"/>
      <c r="P464" s="382"/>
      <c r="Q464" s="382"/>
      <c r="R464" s="382"/>
      <c r="S464" s="382"/>
      <c r="T464" s="382"/>
      <c r="U464" s="382"/>
      <c r="V464" s="382"/>
      <c r="W464" s="382"/>
      <c r="X464" s="382"/>
      <c r="Y464" s="382"/>
      <c r="Z464" s="382"/>
      <c r="AA464" s="382"/>
      <c r="AB464" s="382"/>
      <c r="AC464" s="382"/>
      <c r="AD464" s="382"/>
      <c r="AE464" s="382"/>
      <c r="AF464" s="382"/>
      <c r="AG464" s="382"/>
      <c r="AH464" s="382"/>
      <c r="AI464" s="382"/>
      <c r="AJ464" s="382"/>
      <c r="AK464" s="382"/>
      <c r="AL464" s="382"/>
      <c r="AM464" s="382"/>
    </row>
    <row r="465" spans="2:39" ht="27.75" customHeight="1">
      <c r="B465" s="382"/>
      <c r="C465" s="382"/>
      <c r="D465" s="382"/>
      <c r="E465" s="382"/>
      <c r="F465" s="382"/>
      <c r="G465" s="382"/>
      <c r="H465" s="382"/>
      <c r="I465" s="382"/>
      <c r="J465" s="382"/>
      <c r="K465" s="382"/>
      <c r="L465" s="382"/>
      <c r="M465" s="382"/>
      <c r="N465" s="382"/>
      <c r="O465" s="382"/>
      <c r="P465" s="382"/>
      <c r="Q465" s="382"/>
      <c r="R465" s="382"/>
      <c r="S465" s="382"/>
      <c r="T465" s="382"/>
      <c r="U465" s="382"/>
      <c r="V465" s="382"/>
      <c r="W465" s="382"/>
      <c r="X465" s="382"/>
      <c r="Y465" s="382"/>
      <c r="Z465" s="382"/>
      <c r="AA465" s="382"/>
      <c r="AB465" s="382"/>
      <c r="AC465" s="382"/>
      <c r="AD465" s="382"/>
      <c r="AE465" s="382"/>
      <c r="AF465" s="382"/>
      <c r="AG465" s="382"/>
      <c r="AH465" s="382"/>
      <c r="AI465" s="382"/>
      <c r="AJ465" s="382"/>
      <c r="AK465" s="382"/>
      <c r="AL465" s="382"/>
      <c r="AM465" s="382"/>
    </row>
    <row r="466" spans="2:39" ht="27.75" customHeight="1">
      <c r="B466" s="382"/>
      <c r="C466" s="382"/>
      <c r="D466" s="382"/>
      <c r="E466" s="382"/>
      <c r="F466" s="382"/>
      <c r="G466" s="382"/>
      <c r="H466" s="382"/>
      <c r="I466" s="382"/>
      <c r="J466" s="382"/>
      <c r="K466" s="382"/>
      <c r="L466" s="382"/>
      <c r="M466" s="382"/>
      <c r="N466" s="382"/>
      <c r="O466" s="382"/>
      <c r="P466" s="382"/>
      <c r="Q466" s="382"/>
      <c r="R466" s="382"/>
      <c r="S466" s="382"/>
      <c r="T466" s="382"/>
      <c r="U466" s="382"/>
      <c r="V466" s="382"/>
      <c r="W466" s="382"/>
      <c r="X466" s="382"/>
      <c r="Y466" s="382"/>
      <c r="Z466" s="382"/>
      <c r="AA466" s="382"/>
      <c r="AB466" s="382"/>
      <c r="AC466" s="382"/>
      <c r="AD466" s="382"/>
      <c r="AE466" s="382"/>
      <c r="AF466" s="382"/>
      <c r="AG466" s="382"/>
      <c r="AH466" s="382"/>
      <c r="AI466" s="382"/>
      <c r="AJ466" s="382"/>
      <c r="AK466" s="382"/>
      <c r="AL466" s="382"/>
      <c r="AM466" s="382"/>
    </row>
    <row r="467" spans="2:39" ht="27.75" customHeight="1">
      <c r="B467" s="382"/>
      <c r="C467" s="382"/>
      <c r="D467" s="382"/>
      <c r="E467" s="382"/>
      <c r="F467" s="382"/>
      <c r="G467" s="382"/>
      <c r="H467" s="382"/>
      <c r="I467" s="382"/>
      <c r="J467" s="382"/>
      <c r="K467" s="382"/>
      <c r="L467" s="382"/>
      <c r="M467" s="382"/>
      <c r="N467" s="382"/>
      <c r="O467" s="382"/>
      <c r="P467" s="382"/>
      <c r="Q467" s="382"/>
      <c r="R467" s="382"/>
      <c r="S467" s="382"/>
      <c r="T467" s="382"/>
      <c r="U467" s="382"/>
      <c r="V467" s="382"/>
      <c r="W467" s="382"/>
      <c r="X467" s="382"/>
      <c r="Y467" s="382"/>
      <c r="Z467" s="382"/>
      <c r="AA467" s="382"/>
      <c r="AB467" s="382"/>
      <c r="AC467" s="382"/>
      <c r="AD467" s="382"/>
      <c r="AE467" s="382"/>
      <c r="AF467" s="382"/>
      <c r="AG467" s="382"/>
      <c r="AH467" s="382"/>
      <c r="AI467" s="382"/>
      <c r="AJ467" s="382"/>
      <c r="AK467" s="382"/>
      <c r="AL467" s="382"/>
      <c r="AM467" s="382"/>
    </row>
    <row r="468" spans="2:39" ht="27.75" customHeight="1">
      <c r="B468" s="382"/>
      <c r="C468" s="382"/>
      <c r="D468" s="382"/>
      <c r="E468" s="382"/>
      <c r="F468" s="382"/>
      <c r="G468" s="382"/>
      <c r="H468" s="382"/>
      <c r="I468" s="382"/>
      <c r="J468" s="382"/>
      <c r="K468" s="382"/>
      <c r="L468" s="382"/>
      <c r="M468" s="382"/>
      <c r="N468" s="382"/>
      <c r="O468" s="382"/>
      <c r="P468" s="382"/>
      <c r="Q468" s="382"/>
      <c r="R468" s="382"/>
      <c r="S468" s="382"/>
      <c r="T468" s="382"/>
      <c r="U468" s="382"/>
      <c r="V468" s="382"/>
      <c r="W468" s="382"/>
      <c r="X468" s="382"/>
      <c r="Y468" s="382"/>
      <c r="Z468" s="382"/>
      <c r="AA468" s="382"/>
      <c r="AB468" s="382"/>
      <c r="AC468" s="382"/>
      <c r="AD468" s="382"/>
      <c r="AE468" s="382"/>
      <c r="AF468" s="382"/>
      <c r="AG468" s="382"/>
      <c r="AH468" s="382"/>
      <c r="AI468" s="382"/>
      <c r="AJ468" s="382"/>
      <c r="AK468" s="382"/>
      <c r="AL468" s="382"/>
      <c r="AM468" s="382"/>
    </row>
    <row r="469" spans="2:39" ht="27.75" customHeight="1">
      <c r="B469" s="382"/>
      <c r="C469" s="382"/>
      <c r="D469" s="382"/>
      <c r="E469" s="382"/>
      <c r="F469" s="382"/>
      <c r="G469" s="382"/>
      <c r="H469" s="382"/>
      <c r="I469" s="382"/>
      <c r="J469" s="382"/>
      <c r="K469" s="382"/>
      <c r="L469" s="382"/>
      <c r="M469" s="382"/>
      <c r="N469" s="382"/>
      <c r="O469" s="382"/>
      <c r="P469" s="382"/>
      <c r="Q469" s="382"/>
      <c r="R469" s="382"/>
      <c r="S469" s="382"/>
      <c r="T469" s="382"/>
      <c r="U469" s="382"/>
      <c r="V469" s="382"/>
      <c r="W469" s="382"/>
      <c r="X469" s="382"/>
      <c r="Y469" s="382"/>
      <c r="Z469" s="382"/>
      <c r="AA469" s="382"/>
      <c r="AB469" s="382"/>
      <c r="AC469" s="382"/>
      <c r="AD469" s="382"/>
      <c r="AE469" s="382"/>
      <c r="AF469" s="382"/>
      <c r="AG469" s="382"/>
      <c r="AH469" s="382"/>
      <c r="AI469" s="382"/>
      <c r="AJ469" s="382"/>
      <c r="AK469" s="382"/>
      <c r="AL469" s="382"/>
      <c r="AM469" s="382"/>
    </row>
    <row r="470" spans="2:39" ht="27.75" customHeight="1">
      <c r="B470" s="382"/>
      <c r="C470" s="382"/>
      <c r="D470" s="382"/>
      <c r="E470" s="382"/>
      <c r="F470" s="382"/>
      <c r="G470" s="382"/>
      <c r="H470" s="382"/>
      <c r="I470" s="382"/>
      <c r="J470" s="382"/>
      <c r="K470" s="382"/>
      <c r="L470" s="382"/>
      <c r="M470" s="382"/>
      <c r="N470" s="382"/>
      <c r="O470" s="382"/>
      <c r="P470" s="382"/>
      <c r="Q470" s="382"/>
      <c r="R470" s="382"/>
      <c r="S470" s="382"/>
      <c r="T470" s="382"/>
      <c r="U470" s="382"/>
      <c r="V470" s="382"/>
      <c r="W470" s="382"/>
      <c r="X470" s="382"/>
      <c r="Y470" s="382"/>
      <c r="Z470" s="382"/>
      <c r="AA470" s="382"/>
      <c r="AB470" s="382"/>
      <c r="AC470" s="382"/>
      <c r="AD470" s="382"/>
      <c r="AE470" s="382"/>
      <c r="AF470" s="382"/>
      <c r="AG470" s="382"/>
      <c r="AH470" s="382"/>
      <c r="AI470" s="382"/>
      <c r="AJ470" s="382"/>
      <c r="AK470" s="382"/>
      <c r="AL470" s="382"/>
      <c r="AM470" s="382"/>
    </row>
    <row r="471" spans="2:39" ht="27.75" customHeight="1">
      <c r="B471" s="382"/>
      <c r="C471" s="382"/>
      <c r="D471" s="382"/>
      <c r="E471" s="382"/>
      <c r="F471" s="382"/>
      <c r="G471" s="382"/>
      <c r="H471" s="382"/>
      <c r="I471" s="382"/>
      <c r="J471" s="382"/>
      <c r="K471" s="382"/>
      <c r="L471" s="382"/>
      <c r="M471" s="382"/>
      <c r="N471" s="382"/>
      <c r="O471" s="382"/>
      <c r="P471" s="382"/>
      <c r="Q471" s="382"/>
      <c r="R471" s="382"/>
      <c r="S471" s="382"/>
      <c r="T471" s="382"/>
      <c r="U471" s="382"/>
      <c r="V471" s="382"/>
      <c r="W471" s="382"/>
      <c r="X471" s="382"/>
      <c r="Y471" s="382"/>
      <c r="Z471" s="382"/>
      <c r="AA471" s="382"/>
      <c r="AB471" s="382"/>
      <c r="AC471" s="382"/>
      <c r="AD471" s="382"/>
      <c r="AE471" s="382"/>
      <c r="AF471" s="382"/>
      <c r="AG471" s="382"/>
      <c r="AH471" s="382"/>
      <c r="AI471" s="382"/>
      <c r="AJ471" s="382"/>
      <c r="AK471" s="382"/>
      <c r="AL471" s="382"/>
      <c r="AM471" s="382"/>
    </row>
    <row r="472" spans="2:39" ht="27.75" customHeight="1">
      <c r="B472" s="382"/>
      <c r="C472" s="382"/>
      <c r="D472" s="382"/>
      <c r="E472" s="382"/>
      <c r="F472" s="382"/>
      <c r="G472" s="382"/>
      <c r="H472" s="382"/>
      <c r="I472" s="382"/>
      <c r="J472" s="382"/>
      <c r="K472" s="382"/>
      <c r="L472" s="382"/>
      <c r="M472" s="382"/>
      <c r="N472" s="382"/>
      <c r="O472" s="382"/>
      <c r="P472" s="382"/>
      <c r="Q472" s="382"/>
      <c r="R472" s="382"/>
      <c r="S472" s="382"/>
      <c r="T472" s="382"/>
      <c r="U472" s="382"/>
      <c r="V472" s="382"/>
      <c r="W472" s="382"/>
      <c r="X472" s="382"/>
      <c r="Y472" s="382"/>
      <c r="Z472" s="382"/>
      <c r="AA472" s="382"/>
      <c r="AB472" s="382"/>
      <c r="AC472" s="382"/>
      <c r="AD472" s="382"/>
      <c r="AE472" s="382"/>
      <c r="AF472" s="382"/>
      <c r="AG472" s="382"/>
      <c r="AH472" s="382"/>
      <c r="AI472" s="382"/>
      <c r="AJ472" s="382"/>
      <c r="AK472" s="382"/>
      <c r="AL472" s="382"/>
      <c r="AM472" s="382"/>
    </row>
    <row r="473" spans="2:39" ht="27.75" customHeight="1">
      <c r="B473" s="382"/>
      <c r="C473" s="382"/>
      <c r="D473" s="382"/>
      <c r="E473" s="382"/>
      <c r="F473" s="382"/>
      <c r="G473" s="382"/>
      <c r="H473" s="382"/>
      <c r="I473" s="382"/>
      <c r="J473" s="382"/>
      <c r="K473" s="382"/>
      <c r="L473" s="382"/>
      <c r="M473" s="382"/>
      <c r="N473" s="382"/>
      <c r="O473" s="382"/>
      <c r="P473" s="382"/>
      <c r="Q473" s="382"/>
      <c r="R473" s="382"/>
      <c r="S473" s="382"/>
      <c r="T473" s="382"/>
      <c r="U473" s="382"/>
      <c r="V473" s="382"/>
      <c r="W473" s="382"/>
      <c r="X473" s="382"/>
      <c r="Y473" s="382"/>
      <c r="Z473" s="382"/>
      <c r="AA473" s="382"/>
      <c r="AB473" s="382"/>
      <c r="AC473" s="382"/>
      <c r="AD473" s="382"/>
      <c r="AE473" s="382"/>
      <c r="AF473" s="382"/>
      <c r="AG473" s="382"/>
      <c r="AH473" s="382"/>
      <c r="AI473" s="382"/>
      <c r="AJ473" s="382"/>
      <c r="AK473" s="382"/>
      <c r="AL473" s="382"/>
      <c r="AM473" s="382"/>
    </row>
    <row r="474" spans="2:39" ht="27.75" customHeight="1">
      <c r="B474" s="382"/>
      <c r="C474" s="382"/>
      <c r="D474" s="382"/>
      <c r="E474" s="382"/>
      <c r="F474" s="382"/>
      <c r="G474" s="382"/>
      <c r="H474" s="382"/>
      <c r="I474" s="382"/>
      <c r="J474" s="382"/>
      <c r="K474" s="382"/>
      <c r="L474" s="382"/>
      <c r="M474" s="382"/>
      <c r="N474" s="382"/>
      <c r="O474" s="382"/>
      <c r="P474" s="382"/>
      <c r="Q474" s="382"/>
      <c r="R474" s="382"/>
      <c r="S474" s="382"/>
      <c r="T474" s="382"/>
      <c r="U474" s="382"/>
      <c r="V474" s="382"/>
      <c r="W474" s="382"/>
      <c r="X474" s="382"/>
      <c r="Y474" s="382"/>
      <c r="Z474" s="382"/>
      <c r="AA474" s="382"/>
      <c r="AB474" s="382"/>
      <c r="AC474" s="382"/>
      <c r="AD474" s="382"/>
      <c r="AE474" s="382"/>
      <c r="AF474" s="382"/>
      <c r="AG474" s="382"/>
      <c r="AH474" s="382"/>
      <c r="AI474" s="382"/>
      <c r="AJ474" s="382"/>
      <c r="AK474" s="382"/>
      <c r="AL474" s="382"/>
      <c r="AM474" s="382"/>
    </row>
    <row r="475" spans="2:39" ht="27.75" customHeight="1">
      <c r="B475" s="382"/>
      <c r="C475" s="382"/>
      <c r="D475" s="382"/>
      <c r="E475" s="382"/>
      <c r="F475" s="382"/>
      <c r="G475" s="382"/>
      <c r="H475" s="382"/>
      <c r="I475" s="382"/>
      <c r="J475" s="382"/>
      <c r="K475" s="382"/>
      <c r="L475" s="382"/>
      <c r="M475" s="382"/>
      <c r="N475" s="382"/>
      <c r="O475" s="382"/>
      <c r="P475" s="382"/>
      <c r="Q475" s="382"/>
      <c r="R475" s="382"/>
      <c r="S475" s="382"/>
      <c r="T475" s="382"/>
      <c r="U475" s="382"/>
      <c r="V475" s="382"/>
      <c r="W475" s="382"/>
      <c r="X475" s="382"/>
      <c r="Y475" s="382"/>
      <c r="Z475" s="382"/>
      <c r="AA475" s="382"/>
      <c r="AB475" s="382"/>
      <c r="AC475" s="382"/>
      <c r="AD475" s="382"/>
      <c r="AE475" s="382"/>
      <c r="AF475" s="382"/>
      <c r="AG475" s="382"/>
      <c r="AH475" s="382"/>
      <c r="AI475" s="382"/>
      <c r="AJ475" s="382"/>
      <c r="AK475" s="382"/>
      <c r="AL475" s="382"/>
      <c r="AM475" s="382"/>
    </row>
    <row r="476" spans="2:39" ht="27.75" customHeight="1">
      <c r="B476" s="382"/>
      <c r="C476" s="382"/>
      <c r="D476" s="382"/>
      <c r="E476" s="382"/>
      <c r="F476" s="382"/>
      <c r="G476" s="382"/>
      <c r="H476" s="382"/>
      <c r="I476" s="382"/>
      <c r="J476" s="382"/>
      <c r="K476" s="382"/>
      <c r="L476" s="382"/>
      <c r="M476" s="382"/>
      <c r="N476" s="382"/>
      <c r="O476" s="382"/>
      <c r="P476" s="382"/>
      <c r="Q476" s="382"/>
      <c r="R476" s="382"/>
      <c r="S476" s="382"/>
      <c r="T476" s="382"/>
      <c r="U476" s="382"/>
      <c r="V476" s="382"/>
      <c r="W476" s="382"/>
      <c r="X476" s="382"/>
      <c r="Y476" s="382"/>
      <c r="Z476" s="382"/>
      <c r="AA476" s="382"/>
      <c r="AB476" s="382"/>
      <c r="AC476" s="382"/>
      <c r="AD476" s="382"/>
      <c r="AE476" s="382"/>
      <c r="AF476" s="382"/>
      <c r="AG476" s="382"/>
      <c r="AH476" s="382"/>
      <c r="AI476" s="382"/>
      <c r="AJ476" s="382"/>
      <c r="AK476" s="382"/>
      <c r="AL476" s="382"/>
      <c r="AM476" s="382"/>
    </row>
    <row r="477" spans="2:39" ht="27.75" customHeight="1">
      <c r="B477" s="382"/>
      <c r="C477" s="382"/>
      <c r="D477" s="382"/>
      <c r="E477" s="382"/>
      <c r="F477" s="382"/>
      <c r="G477" s="382"/>
      <c r="H477" s="382"/>
      <c r="I477" s="382"/>
      <c r="J477" s="382"/>
      <c r="K477" s="382"/>
      <c r="L477" s="382"/>
      <c r="M477" s="382"/>
      <c r="N477" s="382"/>
      <c r="O477" s="382"/>
      <c r="P477" s="382"/>
      <c r="Q477" s="382"/>
      <c r="R477" s="382"/>
      <c r="S477" s="382"/>
      <c r="T477" s="382"/>
      <c r="U477" s="382"/>
      <c r="V477" s="382"/>
      <c r="W477" s="382"/>
      <c r="X477" s="382"/>
      <c r="Y477" s="382"/>
      <c r="Z477" s="382"/>
      <c r="AA477" s="382"/>
      <c r="AB477" s="382"/>
      <c r="AC477" s="382"/>
      <c r="AD477" s="382"/>
      <c r="AE477" s="382"/>
      <c r="AF477" s="382"/>
      <c r="AG477" s="382"/>
      <c r="AH477" s="382"/>
      <c r="AI477" s="382"/>
      <c r="AJ477" s="382"/>
      <c r="AK477" s="382"/>
      <c r="AL477" s="382"/>
      <c r="AM477" s="382"/>
    </row>
    <row r="478" spans="2:39" ht="27.75" customHeight="1">
      <c r="B478" s="382"/>
      <c r="C478" s="382"/>
      <c r="D478" s="382"/>
      <c r="E478" s="382"/>
      <c r="F478" s="382"/>
      <c r="G478" s="382"/>
      <c r="H478" s="382"/>
      <c r="I478" s="382"/>
      <c r="J478" s="382"/>
      <c r="K478" s="382"/>
      <c r="L478" s="382"/>
      <c r="M478" s="382"/>
      <c r="N478" s="382"/>
      <c r="O478" s="382"/>
      <c r="P478" s="382"/>
      <c r="Q478" s="382"/>
      <c r="R478" s="382"/>
      <c r="S478" s="382"/>
      <c r="T478" s="382"/>
      <c r="U478" s="382"/>
      <c r="V478" s="382"/>
      <c r="W478" s="382"/>
      <c r="X478" s="382"/>
      <c r="Y478" s="382"/>
      <c r="Z478" s="382"/>
      <c r="AA478" s="382"/>
      <c r="AB478" s="382"/>
      <c r="AC478" s="382"/>
      <c r="AD478" s="382"/>
      <c r="AE478" s="382"/>
      <c r="AF478" s="382"/>
      <c r="AG478" s="382"/>
      <c r="AH478" s="382"/>
      <c r="AI478" s="382"/>
      <c r="AJ478" s="382"/>
      <c r="AK478" s="382"/>
      <c r="AL478" s="382"/>
      <c r="AM478" s="382"/>
    </row>
    <row r="479" spans="2:39" ht="27.75" customHeight="1">
      <c r="B479" s="382"/>
      <c r="C479" s="382"/>
      <c r="D479" s="382"/>
      <c r="E479" s="382"/>
      <c r="F479" s="382"/>
      <c r="G479" s="382"/>
      <c r="H479" s="382"/>
      <c r="I479" s="382"/>
      <c r="J479" s="382"/>
      <c r="K479" s="382"/>
      <c r="L479" s="382"/>
      <c r="M479" s="382"/>
      <c r="N479" s="382"/>
      <c r="O479" s="382"/>
      <c r="P479" s="382"/>
      <c r="Q479" s="382"/>
      <c r="R479" s="382"/>
      <c r="S479" s="382"/>
      <c r="T479" s="382"/>
      <c r="U479" s="382"/>
      <c r="V479" s="382"/>
      <c r="W479" s="382"/>
      <c r="X479" s="382"/>
      <c r="Y479" s="382"/>
      <c r="Z479" s="382"/>
      <c r="AA479" s="382"/>
      <c r="AB479" s="382"/>
      <c r="AC479" s="382"/>
      <c r="AD479" s="382"/>
      <c r="AE479" s="382"/>
      <c r="AF479" s="382"/>
      <c r="AG479" s="382"/>
      <c r="AH479" s="382"/>
      <c r="AI479" s="382"/>
      <c r="AJ479" s="382"/>
      <c r="AK479" s="382"/>
      <c r="AL479" s="382"/>
      <c r="AM479" s="382"/>
    </row>
    <row r="480" spans="2:39" ht="27.75" customHeight="1">
      <c r="B480" s="382"/>
      <c r="C480" s="382"/>
      <c r="D480" s="382"/>
      <c r="E480" s="382"/>
      <c r="F480" s="382"/>
      <c r="G480" s="382"/>
      <c r="H480" s="382"/>
      <c r="I480" s="382"/>
      <c r="J480" s="382"/>
      <c r="K480" s="382"/>
      <c r="L480" s="382"/>
      <c r="M480" s="382"/>
      <c r="N480" s="382"/>
      <c r="O480" s="382"/>
      <c r="P480" s="382"/>
      <c r="Q480" s="382"/>
      <c r="R480" s="382"/>
      <c r="S480" s="382"/>
      <c r="T480" s="382"/>
      <c r="U480" s="382"/>
      <c r="V480" s="382"/>
      <c r="W480" s="382"/>
      <c r="X480" s="382"/>
      <c r="Y480" s="382"/>
      <c r="Z480" s="382"/>
      <c r="AA480" s="382"/>
      <c r="AB480" s="382"/>
      <c r="AC480" s="382"/>
      <c r="AD480" s="382"/>
      <c r="AE480" s="382"/>
      <c r="AF480" s="382"/>
      <c r="AG480" s="382"/>
      <c r="AH480" s="382"/>
      <c r="AI480" s="382"/>
      <c r="AJ480" s="382"/>
      <c r="AK480" s="382"/>
      <c r="AL480" s="382"/>
      <c r="AM480" s="382"/>
    </row>
    <row r="481" spans="2:39" ht="27.75" customHeight="1">
      <c r="B481" s="382"/>
      <c r="C481" s="382"/>
      <c r="D481" s="382"/>
      <c r="E481" s="382"/>
      <c r="F481" s="382"/>
      <c r="G481" s="382"/>
      <c r="H481" s="382"/>
      <c r="I481" s="382"/>
      <c r="J481" s="382"/>
      <c r="K481" s="382"/>
      <c r="L481" s="382"/>
      <c r="M481" s="382"/>
      <c r="N481" s="382"/>
      <c r="O481" s="382"/>
      <c r="P481" s="382"/>
      <c r="Q481" s="382"/>
      <c r="R481" s="382"/>
      <c r="S481" s="382"/>
      <c r="T481" s="382"/>
      <c r="U481" s="382"/>
      <c r="V481" s="382"/>
      <c r="W481" s="382"/>
      <c r="X481" s="382"/>
      <c r="Y481" s="382"/>
      <c r="Z481" s="382"/>
      <c r="AA481" s="382"/>
      <c r="AB481" s="382"/>
      <c r="AC481" s="382"/>
      <c r="AD481" s="382"/>
      <c r="AE481" s="382"/>
      <c r="AF481" s="382"/>
      <c r="AG481" s="382"/>
      <c r="AH481" s="382"/>
      <c r="AI481" s="382"/>
      <c r="AJ481" s="382"/>
      <c r="AK481" s="382"/>
      <c r="AL481" s="382"/>
      <c r="AM481" s="382"/>
    </row>
    <row r="482" spans="2:39" ht="27.75" customHeight="1">
      <c r="B482" s="382"/>
      <c r="C482" s="382"/>
      <c r="D482" s="382"/>
      <c r="E482" s="382"/>
      <c r="F482" s="382"/>
      <c r="G482" s="382"/>
      <c r="H482" s="382"/>
      <c r="I482" s="382"/>
      <c r="J482" s="382"/>
      <c r="K482" s="382"/>
      <c r="L482" s="382"/>
      <c r="M482" s="382"/>
      <c r="N482" s="382"/>
      <c r="O482" s="382"/>
      <c r="P482" s="382"/>
      <c r="Q482" s="382"/>
      <c r="R482" s="382"/>
      <c r="S482" s="382"/>
      <c r="T482" s="382"/>
      <c r="U482" s="382"/>
      <c r="V482" s="382"/>
      <c r="W482" s="382"/>
      <c r="X482" s="382"/>
      <c r="Y482" s="382"/>
      <c r="Z482" s="382"/>
      <c r="AA482" s="382"/>
      <c r="AB482" s="382"/>
      <c r="AC482" s="382"/>
      <c r="AD482" s="382"/>
      <c r="AE482" s="382"/>
      <c r="AF482" s="382"/>
      <c r="AG482" s="382"/>
      <c r="AH482" s="382"/>
      <c r="AI482" s="382"/>
      <c r="AJ482" s="382"/>
      <c r="AK482" s="382"/>
      <c r="AL482" s="382"/>
      <c r="AM482" s="382"/>
    </row>
    <row r="483" spans="2:39" ht="27.75" customHeight="1">
      <c r="B483" s="382"/>
      <c r="C483" s="382"/>
      <c r="D483" s="382"/>
      <c r="E483" s="382"/>
      <c r="F483" s="382"/>
      <c r="G483" s="382"/>
      <c r="H483" s="382"/>
      <c r="I483" s="382"/>
      <c r="J483" s="382"/>
      <c r="K483" s="382"/>
      <c r="L483" s="382"/>
      <c r="M483" s="382"/>
      <c r="N483" s="382"/>
      <c r="O483" s="382"/>
      <c r="P483" s="382"/>
      <c r="Q483" s="382"/>
      <c r="R483" s="382"/>
      <c r="S483" s="382"/>
      <c r="T483" s="382"/>
      <c r="U483" s="382"/>
      <c r="V483" s="382"/>
      <c r="W483" s="382"/>
      <c r="X483" s="382"/>
      <c r="Y483" s="382"/>
      <c r="Z483" s="382"/>
      <c r="AA483" s="382"/>
      <c r="AB483" s="382"/>
      <c r="AC483" s="382"/>
      <c r="AD483" s="382"/>
      <c r="AE483" s="382"/>
      <c r="AF483" s="382"/>
      <c r="AG483" s="382"/>
      <c r="AH483" s="382"/>
      <c r="AI483" s="382"/>
      <c r="AJ483" s="382"/>
      <c r="AK483" s="382"/>
      <c r="AL483" s="382"/>
      <c r="AM483" s="382"/>
    </row>
    <row r="484" spans="2:39" ht="27.75" customHeight="1">
      <c r="B484" s="382"/>
      <c r="C484" s="382"/>
      <c r="D484" s="382"/>
      <c r="E484" s="382"/>
      <c r="F484" s="382"/>
      <c r="G484" s="382"/>
      <c r="H484" s="382"/>
      <c r="I484" s="382"/>
      <c r="J484" s="382"/>
      <c r="K484" s="382"/>
      <c r="L484" s="382"/>
      <c r="M484" s="382"/>
      <c r="N484" s="382"/>
      <c r="O484" s="382"/>
      <c r="P484" s="382"/>
      <c r="Q484" s="382"/>
      <c r="R484" s="382"/>
      <c r="S484" s="382"/>
      <c r="T484" s="382"/>
      <c r="U484" s="382"/>
      <c r="V484" s="382"/>
      <c r="W484" s="382"/>
      <c r="X484" s="382"/>
      <c r="Y484" s="382"/>
      <c r="Z484" s="382"/>
      <c r="AA484" s="382"/>
      <c r="AB484" s="382"/>
      <c r="AC484" s="382"/>
      <c r="AD484" s="382"/>
      <c r="AE484" s="382"/>
      <c r="AF484" s="382"/>
      <c r="AG484" s="382"/>
      <c r="AH484" s="382"/>
      <c r="AI484" s="382"/>
      <c r="AJ484" s="382"/>
      <c r="AK484" s="382"/>
      <c r="AL484" s="382"/>
      <c r="AM484" s="382"/>
    </row>
    <row r="485" spans="2:39" ht="27.75" customHeight="1">
      <c r="B485" s="382"/>
      <c r="C485" s="382"/>
      <c r="D485" s="382"/>
      <c r="E485" s="382"/>
      <c r="F485" s="382"/>
      <c r="G485" s="382"/>
      <c r="H485" s="382"/>
      <c r="I485" s="382"/>
      <c r="J485" s="382"/>
      <c r="K485" s="382"/>
      <c r="L485" s="382"/>
      <c r="M485" s="382"/>
      <c r="N485" s="382"/>
      <c r="O485" s="382"/>
      <c r="P485" s="382"/>
      <c r="Q485" s="382"/>
      <c r="R485" s="382"/>
      <c r="S485" s="382"/>
      <c r="T485" s="382"/>
      <c r="U485" s="382"/>
      <c r="V485" s="382"/>
      <c r="W485" s="382"/>
      <c r="X485" s="382"/>
      <c r="Y485" s="382"/>
      <c r="Z485" s="382"/>
      <c r="AA485" s="382"/>
      <c r="AB485" s="382"/>
      <c r="AC485" s="382"/>
      <c r="AD485" s="382"/>
      <c r="AE485" s="382"/>
      <c r="AF485" s="382"/>
      <c r="AG485" s="382"/>
      <c r="AH485" s="382"/>
      <c r="AI485" s="382"/>
      <c r="AJ485" s="382"/>
      <c r="AK485" s="382"/>
      <c r="AL485" s="382"/>
      <c r="AM485" s="382"/>
    </row>
    <row r="486" spans="2:39" ht="27.75" customHeight="1">
      <c r="B486" s="382"/>
      <c r="C486" s="382"/>
      <c r="D486" s="382"/>
      <c r="E486" s="382"/>
      <c r="F486" s="382"/>
      <c r="G486" s="382"/>
      <c r="H486" s="382"/>
      <c r="I486" s="382"/>
      <c r="J486" s="382"/>
      <c r="K486" s="382"/>
      <c r="L486" s="382"/>
      <c r="M486" s="382"/>
      <c r="N486" s="382"/>
      <c r="O486" s="382"/>
      <c r="P486" s="382"/>
      <c r="Q486" s="382"/>
      <c r="R486" s="382"/>
      <c r="S486" s="382"/>
      <c r="T486" s="382"/>
      <c r="U486" s="382"/>
      <c r="V486" s="382"/>
      <c r="W486" s="382"/>
      <c r="X486" s="382"/>
      <c r="Y486" s="382"/>
      <c r="Z486" s="382"/>
      <c r="AA486" s="382"/>
      <c r="AB486" s="382"/>
      <c r="AC486" s="382"/>
      <c r="AD486" s="382"/>
      <c r="AE486" s="382"/>
      <c r="AF486" s="382"/>
      <c r="AG486" s="382"/>
      <c r="AH486" s="382"/>
      <c r="AI486" s="382"/>
      <c r="AJ486" s="382"/>
      <c r="AK486" s="382"/>
      <c r="AL486" s="382"/>
      <c r="AM486" s="382"/>
    </row>
    <row r="487" spans="2:39" ht="27.75" customHeight="1">
      <c r="B487" s="382"/>
      <c r="C487" s="382"/>
      <c r="D487" s="382"/>
      <c r="E487" s="382"/>
      <c r="F487" s="382"/>
      <c r="G487" s="382"/>
      <c r="H487" s="382"/>
      <c r="I487" s="382"/>
      <c r="J487" s="382"/>
      <c r="K487" s="382"/>
      <c r="L487" s="382"/>
      <c r="M487" s="382"/>
      <c r="N487" s="382"/>
      <c r="O487" s="382"/>
      <c r="P487" s="382"/>
      <c r="Q487" s="382"/>
      <c r="R487" s="382"/>
      <c r="S487" s="382"/>
      <c r="T487" s="382"/>
      <c r="U487" s="382"/>
      <c r="V487" s="382"/>
      <c r="W487" s="382"/>
      <c r="X487" s="382"/>
      <c r="Y487" s="382"/>
      <c r="Z487" s="382"/>
      <c r="AA487" s="382"/>
      <c r="AB487" s="382"/>
      <c r="AC487" s="382"/>
      <c r="AD487" s="382"/>
      <c r="AE487" s="382"/>
      <c r="AF487" s="382"/>
      <c r="AG487" s="382"/>
      <c r="AH487" s="382"/>
      <c r="AI487" s="382"/>
      <c r="AJ487" s="382"/>
      <c r="AK487" s="382"/>
      <c r="AL487" s="382"/>
      <c r="AM487" s="382"/>
    </row>
    <row r="488" spans="2:39" ht="27.75" customHeight="1">
      <c r="B488" s="382"/>
      <c r="C488" s="382"/>
      <c r="D488" s="382"/>
      <c r="E488" s="382"/>
      <c r="F488" s="382"/>
      <c r="G488" s="382"/>
      <c r="H488" s="382"/>
      <c r="I488" s="382"/>
      <c r="J488" s="382"/>
      <c r="K488" s="382"/>
      <c r="L488" s="382"/>
      <c r="M488" s="382"/>
      <c r="N488" s="382"/>
      <c r="O488" s="382"/>
      <c r="P488" s="382"/>
      <c r="Q488" s="382"/>
      <c r="R488" s="382"/>
      <c r="S488" s="382"/>
      <c r="T488" s="382"/>
      <c r="U488" s="382"/>
      <c r="V488" s="382"/>
      <c r="W488" s="382"/>
      <c r="X488" s="382"/>
      <c r="Y488" s="382"/>
      <c r="Z488" s="382"/>
      <c r="AA488" s="382"/>
      <c r="AB488" s="382"/>
      <c r="AC488" s="382"/>
      <c r="AD488" s="382"/>
      <c r="AE488" s="382"/>
      <c r="AF488" s="382"/>
      <c r="AG488" s="382"/>
      <c r="AH488" s="382"/>
      <c r="AI488" s="382"/>
      <c r="AJ488" s="382"/>
      <c r="AK488" s="382"/>
      <c r="AL488" s="382"/>
      <c r="AM488" s="382"/>
    </row>
    <row r="489" spans="2:39" ht="27.75" customHeight="1">
      <c r="B489" s="382"/>
      <c r="C489" s="382"/>
      <c r="D489" s="382"/>
      <c r="E489" s="382"/>
      <c r="F489" s="382"/>
      <c r="G489" s="382"/>
      <c r="H489" s="382"/>
      <c r="I489" s="382"/>
      <c r="J489" s="382"/>
      <c r="K489" s="382"/>
      <c r="L489" s="382"/>
      <c r="M489" s="382"/>
      <c r="N489" s="382"/>
      <c r="O489" s="382"/>
      <c r="P489" s="382"/>
      <c r="Q489" s="382"/>
      <c r="R489" s="382"/>
      <c r="S489" s="382"/>
      <c r="T489" s="382"/>
      <c r="U489" s="382"/>
      <c r="V489" s="382"/>
      <c r="W489" s="382"/>
      <c r="X489" s="382"/>
      <c r="Y489" s="382"/>
      <c r="Z489" s="382"/>
      <c r="AA489" s="382"/>
      <c r="AB489" s="382"/>
      <c r="AC489" s="382"/>
      <c r="AD489" s="382"/>
      <c r="AE489" s="382"/>
      <c r="AF489" s="382"/>
      <c r="AG489" s="382"/>
      <c r="AH489" s="382"/>
      <c r="AI489" s="382"/>
      <c r="AJ489" s="382"/>
      <c r="AK489" s="382"/>
      <c r="AL489" s="382"/>
      <c r="AM489" s="382"/>
    </row>
    <row r="490" spans="2:39" ht="27.75" customHeight="1">
      <c r="B490" s="382"/>
      <c r="C490" s="382"/>
      <c r="D490" s="382"/>
      <c r="E490" s="382"/>
      <c r="F490" s="382"/>
      <c r="G490" s="382"/>
      <c r="H490" s="382"/>
      <c r="I490" s="382"/>
      <c r="J490" s="382"/>
      <c r="K490" s="382"/>
      <c r="L490" s="382"/>
      <c r="M490" s="382"/>
      <c r="N490" s="382"/>
      <c r="O490" s="382"/>
      <c r="P490" s="382"/>
      <c r="Q490" s="382"/>
      <c r="R490" s="382"/>
      <c r="S490" s="382"/>
      <c r="T490" s="382"/>
      <c r="U490" s="382"/>
      <c r="V490" s="382"/>
      <c r="W490" s="382"/>
      <c r="X490" s="382"/>
      <c r="Y490" s="382"/>
      <c r="Z490" s="382"/>
      <c r="AA490" s="382"/>
      <c r="AB490" s="382"/>
      <c r="AC490" s="382"/>
      <c r="AD490" s="382"/>
      <c r="AE490" s="382"/>
      <c r="AF490" s="382"/>
      <c r="AG490" s="382"/>
      <c r="AH490" s="382"/>
      <c r="AI490" s="382"/>
      <c r="AJ490" s="382"/>
      <c r="AK490" s="382"/>
      <c r="AL490" s="382"/>
      <c r="AM490" s="382"/>
    </row>
    <row r="491" spans="2:39" ht="27.75" customHeight="1">
      <c r="B491" s="382"/>
      <c r="C491" s="382"/>
      <c r="D491" s="382"/>
      <c r="E491" s="382"/>
      <c r="F491" s="382"/>
      <c r="G491" s="382"/>
      <c r="H491" s="382"/>
      <c r="I491" s="382"/>
      <c r="J491" s="382"/>
      <c r="K491" s="382"/>
      <c r="L491" s="382"/>
      <c r="M491" s="382"/>
      <c r="N491" s="382"/>
      <c r="O491" s="382"/>
      <c r="P491" s="382"/>
      <c r="Q491" s="382"/>
      <c r="R491" s="382"/>
      <c r="S491" s="382"/>
      <c r="T491" s="382"/>
      <c r="U491" s="382"/>
      <c r="V491" s="382"/>
      <c r="W491" s="382"/>
      <c r="X491" s="382"/>
      <c r="Y491" s="382"/>
      <c r="Z491" s="382"/>
      <c r="AA491" s="382"/>
      <c r="AB491" s="382"/>
      <c r="AC491" s="382"/>
      <c r="AD491" s="382"/>
      <c r="AE491" s="382"/>
      <c r="AF491" s="382"/>
      <c r="AG491" s="382"/>
      <c r="AH491" s="382"/>
      <c r="AI491" s="382"/>
      <c r="AJ491" s="382"/>
      <c r="AK491" s="382"/>
      <c r="AL491" s="382"/>
      <c r="AM491" s="382"/>
    </row>
    <row r="492" spans="2:39" ht="27.75" customHeight="1">
      <c r="B492" s="382"/>
      <c r="C492" s="382"/>
      <c r="D492" s="382"/>
      <c r="E492" s="382"/>
      <c r="F492" s="382"/>
      <c r="G492" s="382"/>
      <c r="H492" s="382"/>
      <c r="I492" s="382"/>
      <c r="J492" s="382"/>
      <c r="K492" s="382"/>
      <c r="L492" s="382"/>
      <c r="M492" s="382"/>
      <c r="N492" s="382"/>
      <c r="O492" s="382"/>
      <c r="P492" s="382"/>
      <c r="Q492" s="382"/>
      <c r="R492" s="382"/>
      <c r="S492" s="382"/>
      <c r="T492" s="382"/>
      <c r="U492" s="382"/>
      <c r="V492" s="382"/>
      <c r="W492" s="382"/>
      <c r="X492" s="382"/>
      <c r="Y492" s="382"/>
      <c r="Z492" s="382"/>
      <c r="AA492" s="382"/>
      <c r="AB492" s="382"/>
      <c r="AC492" s="382"/>
      <c r="AD492" s="382"/>
      <c r="AE492" s="382"/>
      <c r="AF492" s="382"/>
      <c r="AG492" s="382"/>
      <c r="AH492" s="382"/>
      <c r="AI492" s="382"/>
      <c r="AJ492" s="382"/>
      <c r="AK492" s="382"/>
      <c r="AL492" s="382"/>
      <c r="AM492" s="382"/>
    </row>
    <row r="493" spans="2:39" ht="27.75" customHeight="1">
      <c r="B493" s="382"/>
      <c r="C493" s="382"/>
      <c r="D493" s="382"/>
      <c r="E493" s="382"/>
      <c r="F493" s="382"/>
      <c r="G493" s="382"/>
      <c r="H493" s="382"/>
      <c r="I493" s="382"/>
      <c r="J493" s="382"/>
      <c r="K493" s="382"/>
      <c r="L493" s="382"/>
      <c r="M493" s="382"/>
      <c r="N493" s="382"/>
      <c r="O493" s="382"/>
      <c r="P493" s="382"/>
      <c r="Q493" s="382"/>
      <c r="R493" s="382"/>
      <c r="S493" s="382"/>
      <c r="T493" s="382"/>
      <c r="U493" s="382"/>
      <c r="V493" s="382"/>
      <c r="W493" s="382"/>
      <c r="X493" s="382"/>
      <c r="Y493" s="382"/>
      <c r="Z493" s="382"/>
      <c r="AA493" s="382"/>
      <c r="AB493" s="382"/>
      <c r="AC493" s="382"/>
      <c r="AD493" s="382"/>
      <c r="AE493" s="382"/>
      <c r="AF493" s="382"/>
      <c r="AG493" s="382"/>
      <c r="AH493" s="382"/>
      <c r="AI493" s="382"/>
      <c r="AJ493" s="382"/>
      <c r="AK493" s="382"/>
      <c r="AL493" s="382"/>
      <c r="AM493" s="382"/>
    </row>
    <row r="494" spans="2:39" ht="27.75" customHeight="1">
      <c r="B494" s="382"/>
      <c r="C494" s="382"/>
      <c r="D494" s="382"/>
      <c r="E494" s="382"/>
      <c r="F494" s="382"/>
      <c r="G494" s="382"/>
      <c r="H494" s="382"/>
      <c r="I494" s="382"/>
      <c r="J494" s="382"/>
      <c r="K494" s="382"/>
      <c r="L494" s="382"/>
      <c r="M494" s="382"/>
      <c r="N494" s="382"/>
      <c r="O494" s="382"/>
      <c r="P494" s="382"/>
      <c r="Q494" s="382"/>
      <c r="R494" s="382"/>
      <c r="S494" s="382"/>
      <c r="T494" s="382"/>
      <c r="U494" s="382"/>
      <c r="V494" s="382"/>
      <c r="W494" s="382"/>
      <c r="X494" s="382"/>
      <c r="Y494" s="382"/>
      <c r="Z494" s="382"/>
      <c r="AA494" s="382"/>
      <c r="AB494" s="382"/>
      <c r="AC494" s="382"/>
      <c r="AD494" s="382"/>
      <c r="AE494" s="382"/>
      <c r="AF494" s="382"/>
      <c r="AG494" s="382"/>
      <c r="AH494" s="382"/>
      <c r="AI494" s="382"/>
      <c r="AJ494" s="382"/>
      <c r="AK494" s="382"/>
      <c r="AL494" s="382"/>
      <c r="AM494" s="382"/>
    </row>
    <row r="495" spans="2:39" ht="27.75" customHeight="1">
      <c r="B495" s="382"/>
      <c r="C495" s="382"/>
      <c r="D495" s="382"/>
      <c r="E495" s="382"/>
      <c r="F495" s="382"/>
      <c r="G495" s="382"/>
      <c r="H495" s="382"/>
      <c r="I495" s="382"/>
      <c r="J495" s="382"/>
      <c r="K495" s="382"/>
      <c r="L495" s="382"/>
      <c r="M495" s="382"/>
      <c r="N495" s="382"/>
      <c r="O495" s="382"/>
      <c r="P495" s="382"/>
      <c r="Q495" s="382"/>
      <c r="R495" s="382"/>
      <c r="S495" s="382"/>
      <c r="T495" s="382"/>
      <c r="U495" s="382"/>
      <c r="V495" s="382"/>
      <c r="W495" s="382"/>
      <c r="X495" s="382"/>
      <c r="Y495" s="382"/>
      <c r="Z495" s="382"/>
      <c r="AA495" s="382"/>
      <c r="AB495" s="382"/>
      <c r="AC495" s="382"/>
      <c r="AD495" s="382"/>
      <c r="AE495" s="382"/>
      <c r="AF495" s="382"/>
      <c r="AG495" s="382"/>
      <c r="AH495" s="382"/>
      <c r="AI495" s="382"/>
      <c r="AJ495" s="382"/>
      <c r="AK495" s="382"/>
      <c r="AL495" s="382"/>
      <c r="AM495" s="382"/>
    </row>
    <row r="496" spans="2:39" ht="27.75" customHeight="1">
      <c r="B496" s="382"/>
      <c r="C496" s="382"/>
      <c r="D496" s="382"/>
      <c r="E496" s="382"/>
      <c r="F496" s="382"/>
      <c r="G496" s="382"/>
      <c r="H496" s="382"/>
      <c r="I496" s="382"/>
      <c r="J496" s="382"/>
      <c r="K496" s="382"/>
      <c r="L496" s="382"/>
      <c r="M496" s="382"/>
      <c r="N496" s="382"/>
      <c r="O496" s="382"/>
      <c r="P496" s="382"/>
      <c r="Q496" s="382"/>
      <c r="R496" s="382"/>
      <c r="S496" s="382"/>
      <c r="T496" s="382"/>
      <c r="U496" s="382"/>
      <c r="V496" s="382"/>
      <c r="W496" s="382"/>
      <c r="X496" s="382"/>
      <c r="Y496" s="382"/>
      <c r="Z496" s="382"/>
      <c r="AA496" s="382"/>
      <c r="AB496" s="382"/>
      <c r="AC496" s="382"/>
      <c r="AD496" s="382"/>
      <c r="AE496" s="382"/>
      <c r="AF496" s="382"/>
      <c r="AG496" s="382"/>
      <c r="AH496" s="382"/>
      <c r="AI496" s="382"/>
      <c r="AJ496" s="382"/>
      <c r="AK496" s="382"/>
      <c r="AL496" s="382"/>
      <c r="AM496" s="382"/>
    </row>
    <row r="497" spans="2:39" ht="27.75" customHeight="1">
      <c r="B497" s="382"/>
      <c r="C497" s="382"/>
      <c r="D497" s="382"/>
      <c r="E497" s="382"/>
      <c r="F497" s="382"/>
      <c r="G497" s="382"/>
      <c r="H497" s="382"/>
      <c r="I497" s="382"/>
      <c r="J497" s="382"/>
      <c r="K497" s="382"/>
      <c r="L497" s="382"/>
      <c r="M497" s="382"/>
      <c r="N497" s="382"/>
      <c r="O497" s="382"/>
      <c r="P497" s="382"/>
      <c r="Q497" s="382"/>
      <c r="R497" s="382"/>
      <c r="S497" s="382"/>
      <c r="T497" s="382"/>
      <c r="U497" s="382"/>
      <c r="V497" s="382"/>
      <c r="W497" s="382"/>
      <c r="X497" s="382"/>
      <c r="Y497" s="382"/>
      <c r="Z497" s="382"/>
      <c r="AA497" s="382"/>
      <c r="AB497" s="382"/>
      <c r="AC497" s="382"/>
      <c r="AD497" s="382"/>
      <c r="AE497" s="382"/>
      <c r="AF497" s="382"/>
      <c r="AG497" s="382"/>
      <c r="AH497" s="382"/>
      <c r="AI497" s="382"/>
      <c r="AJ497" s="382"/>
      <c r="AK497" s="382"/>
      <c r="AL497" s="382"/>
      <c r="AM497" s="382"/>
    </row>
    <row r="498" spans="2:39" ht="27.75" customHeight="1">
      <c r="B498" s="382"/>
      <c r="C498" s="382"/>
      <c r="D498" s="382"/>
      <c r="E498" s="382"/>
      <c r="F498" s="382"/>
      <c r="G498" s="382"/>
      <c r="H498" s="382"/>
      <c r="I498" s="382"/>
      <c r="J498" s="382"/>
      <c r="K498" s="382"/>
      <c r="L498" s="382"/>
      <c r="M498" s="382"/>
      <c r="N498" s="382"/>
      <c r="O498" s="382"/>
      <c r="P498" s="382"/>
      <c r="Q498" s="382"/>
      <c r="R498" s="382"/>
      <c r="S498" s="382"/>
      <c r="T498" s="382"/>
      <c r="U498" s="382"/>
      <c r="V498" s="382"/>
      <c r="W498" s="382"/>
      <c r="X498" s="382"/>
      <c r="Y498" s="382"/>
      <c r="Z498" s="382"/>
      <c r="AA498" s="382"/>
      <c r="AB498" s="382"/>
      <c r="AC498" s="382"/>
      <c r="AD498" s="382"/>
      <c r="AE498" s="382"/>
      <c r="AF498" s="382"/>
      <c r="AG498" s="382"/>
      <c r="AH498" s="382"/>
      <c r="AI498" s="382"/>
      <c r="AJ498" s="382"/>
      <c r="AK498" s="382"/>
      <c r="AL498" s="382"/>
      <c r="AM498" s="382"/>
    </row>
    <row r="499" spans="2:39" ht="27.75" customHeight="1">
      <c r="B499" s="382"/>
      <c r="C499" s="382"/>
      <c r="D499" s="382"/>
      <c r="E499" s="382"/>
      <c r="F499" s="382"/>
      <c r="G499" s="382"/>
      <c r="H499" s="382"/>
      <c r="I499" s="382"/>
      <c r="J499" s="382"/>
      <c r="K499" s="382"/>
      <c r="L499" s="382"/>
      <c r="M499" s="382"/>
      <c r="N499" s="382"/>
      <c r="O499" s="382"/>
      <c r="P499" s="382"/>
      <c r="Q499" s="382"/>
      <c r="R499" s="382"/>
      <c r="S499" s="382"/>
      <c r="T499" s="382"/>
      <c r="U499" s="382"/>
      <c r="V499" s="382"/>
      <c r="W499" s="382"/>
      <c r="X499" s="382"/>
      <c r="Y499" s="382"/>
      <c r="Z499" s="382"/>
      <c r="AA499" s="382"/>
      <c r="AB499" s="382"/>
      <c r="AC499" s="382"/>
      <c r="AD499" s="382"/>
      <c r="AE499" s="382"/>
      <c r="AF499" s="382"/>
      <c r="AG499" s="382"/>
      <c r="AH499" s="382"/>
      <c r="AI499" s="382"/>
      <c r="AJ499" s="382"/>
      <c r="AK499" s="382"/>
      <c r="AL499" s="382"/>
      <c r="AM499" s="382"/>
    </row>
    <row r="500" spans="2:39" ht="27.75" customHeight="1">
      <c r="B500" s="382"/>
      <c r="C500" s="382"/>
      <c r="D500" s="382"/>
      <c r="E500" s="382"/>
      <c r="F500" s="382"/>
      <c r="G500" s="382"/>
      <c r="H500" s="382"/>
      <c r="I500" s="382"/>
      <c r="J500" s="382"/>
      <c r="K500" s="382"/>
      <c r="L500" s="382"/>
      <c r="M500" s="382"/>
      <c r="N500" s="382"/>
      <c r="O500" s="382"/>
      <c r="P500" s="382"/>
      <c r="Q500" s="382"/>
      <c r="R500" s="382"/>
      <c r="S500" s="382"/>
      <c r="T500" s="382"/>
      <c r="U500" s="382"/>
      <c r="V500" s="382"/>
      <c r="W500" s="382"/>
      <c r="X500" s="382"/>
      <c r="Y500" s="382"/>
      <c r="Z500" s="382"/>
      <c r="AA500" s="382"/>
      <c r="AB500" s="382"/>
      <c r="AC500" s="382"/>
      <c r="AD500" s="382"/>
      <c r="AE500" s="382"/>
      <c r="AF500" s="382"/>
      <c r="AG500" s="382"/>
      <c r="AH500" s="382"/>
      <c r="AI500" s="382"/>
      <c r="AJ500" s="382"/>
      <c r="AK500" s="382"/>
      <c r="AL500" s="382"/>
      <c r="AM500" s="382"/>
    </row>
    <row r="501" spans="2:39" ht="27.75" customHeight="1">
      <c r="B501" s="382"/>
      <c r="C501" s="382"/>
      <c r="D501" s="382"/>
      <c r="E501" s="382"/>
      <c r="F501" s="382"/>
      <c r="G501" s="382"/>
      <c r="H501" s="382"/>
      <c r="I501" s="382"/>
      <c r="J501" s="382"/>
      <c r="K501" s="382"/>
      <c r="L501" s="382"/>
      <c r="M501" s="382"/>
      <c r="N501" s="382"/>
      <c r="O501" s="382"/>
      <c r="P501" s="382"/>
      <c r="Q501" s="382"/>
      <c r="R501" s="382"/>
      <c r="S501" s="382"/>
      <c r="T501" s="382"/>
      <c r="U501" s="382"/>
      <c r="V501" s="382"/>
      <c r="W501" s="382"/>
      <c r="X501" s="382"/>
      <c r="Y501" s="382"/>
      <c r="Z501" s="382"/>
      <c r="AA501" s="382"/>
      <c r="AB501" s="382"/>
      <c r="AC501" s="382"/>
      <c r="AD501" s="382"/>
      <c r="AE501" s="382"/>
      <c r="AF501" s="382"/>
      <c r="AG501" s="382"/>
      <c r="AH501" s="382"/>
      <c r="AI501" s="382"/>
      <c r="AJ501" s="382"/>
      <c r="AK501" s="382"/>
      <c r="AL501" s="382"/>
      <c r="AM501" s="382"/>
    </row>
    <row r="502" spans="2:39" ht="27.75" customHeight="1">
      <c r="B502" s="382"/>
      <c r="C502" s="382"/>
      <c r="D502" s="382"/>
      <c r="E502" s="382"/>
      <c r="F502" s="382"/>
      <c r="G502" s="382"/>
      <c r="H502" s="382"/>
      <c r="I502" s="382"/>
      <c r="J502" s="382"/>
      <c r="K502" s="382"/>
      <c r="L502" s="382"/>
      <c r="M502" s="382"/>
      <c r="N502" s="382"/>
      <c r="O502" s="382"/>
      <c r="P502" s="382"/>
      <c r="Q502" s="382"/>
      <c r="R502" s="382"/>
      <c r="S502" s="382"/>
      <c r="T502" s="382"/>
      <c r="U502" s="382"/>
      <c r="V502" s="382"/>
      <c r="W502" s="382"/>
      <c r="X502" s="382"/>
      <c r="Y502" s="382"/>
      <c r="Z502" s="382"/>
      <c r="AA502" s="382"/>
      <c r="AB502" s="382"/>
      <c r="AC502" s="382"/>
      <c r="AD502" s="382"/>
      <c r="AE502" s="382"/>
      <c r="AF502" s="382"/>
      <c r="AG502" s="382"/>
      <c r="AH502" s="382"/>
      <c r="AI502" s="382"/>
      <c r="AJ502" s="382"/>
      <c r="AK502" s="382"/>
      <c r="AL502" s="382"/>
      <c r="AM502" s="382"/>
    </row>
    <row r="503" spans="2:39" ht="27.75" customHeight="1">
      <c r="B503" s="382"/>
      <c r="C503" s="382"/>
      <c r="D503" s="382"/>
      <c r="E503" s="382"/>
      <c r="F503" s="382"/>
      <c r="G503" s="382"/>
      <c r="H503" s="382"/>
      <c r="I503" s="382"/>
      <c r="J503" s="382"/>
      <c r="K503" s="382"/>
      <c r="L503" s="382"/>
      <c r="M503" s="382"/>
      <c r="N503" s="382"/>
      <c r="O503" s="382"/>
      <c r="P503" s="382"/>
      <c r="Q503" s="382"/>
      <c r="R503" s="382"/>
      <c r="S503" s="382"/>
      <c r="T503" s="382"/>
      <c r="U503" s="382"/>
      <c r="V503" s="382"/>
      <c r="W503" s="382"/>
      <c r="X503" s="382"/>
      <c r="Y503" s="382"/>
      <c r="Z503" s="382"/>
      <c r="AA503" s="382"/>
      <c r="AB503" s="382"/>
      <c r="AC503" s="382"/>
      <c r="AD503" s="382"/>
      <c r="AE503" s="382"/>
      <c r="AF503" s="382"/>
      <c r="AG503" s="382"/>
      <c r="AH503" s="382"/>
      <c r="AI503" s="382"/>
      <c r="AJ503" s="382"/>
      <c r="AK503" s="382"/>
      <c r="AL503" s="382"/>
      <c r="AM503" s="382"/>
    </row>
    <row r="504" spans="2:39" ht="27.75" customHeight="1">
      <c r="B504" s="382"/>
      <c r="C504" s="382"/>
      <c r="D504" s="382"/>
      <c r="E504" s="382"/>
      <c r="F504" s="382"/>
      <c r="G504" s="382"/>
      <c r="H504" s="382"/>
      <c r="I504" s="382"/>
      <c r="J504" s="382"/>
      <c r="K504" s="382"/>
      <c r="L504" s="382"/>
      <c r="M504" s="382"/>
      <c r="N504" s="382"/>
      <c r="O504" s="382"/>
      <c r="P504" s="382"/>
      <c r="Q504" s="382"/>
      <c r="R504" s="382"/>
      <c r="S504" s="382"/>
      <c r="T504" s="382"/>
      <c r="U504" s="382"/>
      <c r="V504" s="382"/>
      <c r="W504" s="382"/>
      <c r="X504" s="382"/>
      <c r="Y504" s="382"/>
      <c r="Z504" s="382"/>
      <c r="AA504" s="382"/>
      <c r="AB504" s="382"/>
      <c r="AC504" s="382"/>
      <c r="AD504" s="382"/>
      <c r="AE504" s="382"/>
      <c r="AF504" s="382"/>
      <c r="AG504" s="382"/>
      <c r="AH504" s="382"/>
      <c r="AI504" s="382"/>
      <c r="AJ504" s="382"/>
      <c r="AK504" s="382"/>
      <c r="AL504" s="382"/>
      <c r="AM504" s="382"/>
    </row>
    <row r="505" spans="2:39" ht="27.75" customHeight="1">
      <c r="B505" s="382"/>
      <c r="C505" s="382"/>
      <c r="D505" s="382"/>
      <c r="E505" s="382"/>
      <c r="F505" s="382"/>
      <c r="G505" s="382"/>
      <c r="H505" s="382"/>
      <c r="I505" s="382"/>
      <c r="J505" s="382"/>
      <c r="K505" s="382"/>
      <c r="L505" s="382"/>
      <c r="M505" s="382"/>
      <c r="N505" s="382"/>
      <c r="O505" s="382"/>
      <c r="P505" s="382"/>
      <c r="Q505" s="382"/>
      <c r="R505" s="382"/>
      <c r="S505" s="382"/>
      <c r="T505" s="382"/>
      <c r="U505" s="382"/>
      <c r="V505" s="382"/>
      <c r="W505" s="382"/>
      <c r="X505" s="382"/>
      <c r="Y505" s="382"/>
      <c r="Z505" s="382"/>
      <c r="AA505" s="382"/>
      <c r="AB505" s="382"/>
      <c r="AC505" s="382"/>
      <c r="AD505" s="382"/>
      <c r="AE505" s="382"/>
      <c r="AF505" s="382"/>
      <c r="AG505" s="382"/>
      <c r="AH505" s="382"/>
      <c r="AI505" s="382"/>
      <c r="AJ505" s="382"/>
      <c r="AK505" s="382"/>
      <c r="AL505" s="382"/>
      <c r="AM505" s="382"/>
    </row>
    <row r="506" spans="2:39" ht="27.75" customHeight="1">
      <c r="B506" s="382"/>
      <c r="C506" s="382"/>
      <c r="D506" s="382"/>
      <c r="E506" s="382"/>
      <c r="F506" s="382"/>
      <c r="G506" s="382"/>
      <c r="H506" s="382"/>
      <c r="I506" s="382"/>
      <c r="J506" s="382"/>
      <c r="K506" s="382"/>
      <c r="L506" s="382"/>
      <c r="M506" s="382"/>
      <c r="N506" s="382"/>
      <c r="O506" s="382"/>
      <c r="P506" s="382"/>
      <c r="Q506" s="382"/>
      <c r="R506" s="382"/>
      <c r="S506" s="382"/>
      <c r="T506" s="382"/>
      <c r="U506" s="382"/>
      <c r="V506" s="382"/>
      <c r="W506" s="382"/>
      <c r="X506" s="382"/>
      <c r="Y506" s="382"/>
      <c r="Z506" s="382"/>
      <c r="AA506" s="382"/>
      <c r="AB506" s="382"/>
      <c r="AC506" s="382"/>
      <c r="AD506" s="382"/>
      <c r="AE506" s="382"/>
      <c r="AF506" s="382"/>
      <c r="AG506" s="382"/>
      <c r="AH506" s="382"/>
      <c r="AI506" s="382"/>
      <c r="AJ506" s="382"/>
      <c r="AK506" s="382"/>
      <c r="AL506" s="382"/>
      <c r="AM506" s="382"/>
    </row>
    <row r="507" spans="2:39" ht="27.75" customHeight="1">
      <c r="B507" s="382"/>
      <c r="C507" s="382"/>
      <c r="D507" s="382"/>
      <c r="E507" s="382"/>
      <c r="F507" s="382"/>
      <c r="G507" s="382"/>
      <c r="H507" s="382"/>
      <c r="I507" s="382"/>
      <c r="J507" s="382"/>
      <c r="K507" s="382"/>
      <c r="L507" s="382"/>
      <c r="M507" s="382"/>
      <c r="N507" s="382"/>
      <c r="O507" s="382"/>
      <c r="P507" s="382"/>
      <c r="Q507" s="382"/>
      <c r="R507" s="382"/>
      <c r="S507" s="382"/>
      <c r="T507" s="382"/>
      <c r="U507" s="382"/>
      <c r="V507" s="382"/>
      <c r="W507" s="382"/>
      <c r="X507" s="382"/>
      <c r="Y507" s="382"/>
      <c r="Z507" s="382"/>
      <c r="AA507" s="382"/>
      <c r="AB507" s="382"/>
      <c r="AC507" s="382"/>
      <c r="AD507" s="382"/>
      <c r="AE507" s="382"/>
      <c r="AF507" s="382"/>
      <c r="AG507" s="382"/>
      <c r="AH507" s="382"/>
      <c r="AI507" s="382"/>
      <c r="AJ507" s="382"/>
      <c r="AK507" s="382"/>
      <c r="AL507" s="382"/>
      <c r="AM507" s="382"/>
    </row>
    <row r="508" spans="2:39" ht="27.75" customHeight="1">
      <c r="B508" s="382"/>
      <c r="C508" s="382"/>
      <c r="D508" s="382"/>
      <c r="E508" s="382"/>
      <c r="F508" s="382"/>
      <c r="G508" s="382"/>
      <c r="H508" s="382"/>
      <c r="I508" s="382"/>
      <c r="J508" s="382"/>
      <c r="K508" s="382"/>
      <c r="L508" s="382"/>
      <c r="M508" s="382"/>
      <c r="N508" s="382"/>
      <c r="O508" s="382"/>
      <c r="P508" s="382"/>
      <c r="Q508" s="382"/>
      <c r="R508" s="382"/>
      <c r="S508" s="382"/>
      <c r="T508" s="382"/>
      <c r="U508" s="382"/>
      <c r="V508" s="382"/>
      <c r="W508" s="382"/>
      <c r="X508" s="382"/>
      <c r="Y508" s="382"/>
      <c r="Z508" s="382"/>
      <c r="AA508" s="382"/>
      <c r="AB508" s="382"/>
      <c r="AC508" s="382"/>
      <c r="AD508" s="382"/>
      <c r="AE508" s="382"/>
      <c r="AF508" s="382"/>
      <c r="AG508" s="382"/>
      <c r="AH508" s="382"/>
      <c r="AI508" s="382"/>
      <c r="AJ508" s="382"/>
      <c r="AK508" s="382"/>
      <c r="AL508" s="382"/>
      <c r="AM508" s="382"/>
    </row>
    <row r="509" spans="2:39" ht="27.75" customHeight="1">
      <c r="B509" s="382"/>
      <c r="C509" s="382"/>
      <c r="D509" s="382"/>
      <c r="E509" s="382"/>
      <c r="F509" s="382"/>
      <c r="G509" s="382"/>
      <c r="H509" s="382"/>
      <c r="I509" s="382"/>
      <c r="J509" s="382"/>
      <c r="K509" s="382"/>
      <c r="L509" s="382"/>
      <c r="M509" s="382"/>
      <c r="N509" s="382"/>
      <c r="O509" s="382"/>
      <c r="P509" s="382"/>
      <c r="Q509" s="382"/>
      <c r="R509" s="382"/>
      <c r="S509" s="382"/>
      <c r="T509" s="382"/>
      <c r="U509" s="382"/>
      <c r="V509" s="382"/>
      <c r="W509" s="382"/>
      <c r="X509" s="382"/>
      <c r="Y509" s="382"/>
      <c r="Z509" s="382"/>
      <c r="AA509" s="382"/>
      <c r="AB509" s="382"/>
      <c r="AC509" s="382"/>
      <c r="AD509" s="382"/>
      <c r="AE509" s="382"/>
      <c r="AF509" s="382"/>
      <c r="AG509" s="382"/>
      <c r="AH509" s="382"/>
      <c r="AI509" s="382"/>
      <c r="AJ509" s="382"/>
      <c r="AK509" s="382"/>
      <c r="AL509" s="382"/>
      <c r="AM509" s="382"/>
    </row>
    <row r="510" spans="2:39" ht="27.75" customHeight="1">
      <c r="B510" s="382"/>
      <c r="C510" s="382"/>
      <c r="D510" s="382"/>
      <c r="E510" s="382"/>
      <c r="F510" s="382"/>
      <c r="G510" s="382"/>
      <c r="H510" s="382"/>
      <c r="I510" s="382"/>
      <c r="J510" s="382"/>
      <c r="K510" s="382"/>
      <c r="L510" s="382"/>
      <c r="M510" s="382"/>
      <c r="N510" s="382"/>
      <c r="O510" s="382"/>
      <c r="P510" s="382"/>
      <c r="Q510" s="382"/>
      <c r="R510" s="382"/>
      <c r="S510" s="382"/>
      <c r="T510" s="382"/>
      <c r="U510" s="382"/>
      <c r="V510" s="382"/>
      <c r="W510" s="382"/>
      <c r="X510" s="382"/>
      <c r="Y510" s="382"/>
      <c r="Z510" s="382"/>
      <c r="AA510" s="382"/>
      <c r="AB510" s="382"/>
      <c r="AC510" s="382"/>
      <c r="AD510" s="382"/>
      <c r="AE510" s="382"/>
      <c r="AF510" s="382"/>
      <c r="AG510" s="382"/>
      <c r="AH510" s="382"/>
      <c r="AI510" s="382"/>
      <c r="AJ510" s="382"/>
      <c r="AK510" s="382"/>
      <c r="AL510" s="382"/>
      <c r="AM510" s="382"/>
    </row>
    <row r="511" spans="2:39" ht="27.75" customHeight="1">
      <c r="B511" s="382"/>
      <c r="C511" s="382"/>
      <c r="D511" s="382"/>
      <c r="E511" s="382"/>
      <c r="F511" s="382"/>
      <c r="G511" s="382"/>
      <c r="H511" s="382"/>
      <c r="I511" s="382"/>
      <c r="J511" s="382"/>
      <c r="K511" s="382"/>
      <c r="L511" s="382"/>
      <c r="M511" s="382"/>
      <c r="N511" s="382"/>
      <c r="O511" s="382"/>
      <c r="P511" s="382"/>
      <c r="Q511" s="382"/>
      <c r="R511" s="382"/>
      <c r="S511" s="382"/>
      <c r="T511" s="382"/>
      <c r="U511" s="382"/>
      <c r="V511" s="382"/>
      <c r="W511" s="382"/>
      <c r="X511" s="382"/>
      <c r="Y511" s="382"/>
      <c r="Z511" s="382"/>
      <c r="AA511" s="382"/>
      <c r="AB511" s="382"/>
      <c r="AC511" s="382"/>
      <c r="AD511" s="382"/>
      <c r="AE511" s="382"/>
      <c r="AF511" s="382"/>
      <c r="AG511" s="382"/>
      <c r="AH511" s="382"/>
      <c r="AI511" s="382"/>
      <c r="AJ511" s="382"/>
      <c r="AK511" s="382"/>
      <c r="AL511" s="382"/>
      <c r="AM511" s="382"/>
    </row>
    <row r="512" spans="2:39" ht="27.75" customHeight="1">
      <c r="B512" s="382"/>
      <c r="C512" s="382"/>
      <c r="D512" s="382"/>
      <c r="E512" s="382"/>
      <c r="F512" s="382"/>
      <c r="G512" s="382"/>
      <c r="H512" s="382"/>
      <c r="I512" s="382"/>
      <c r="J512" s="382"/>
      <c r="K512" s="382"/>
      <c r="L512" s="382"/>
      <c r="M512" s="382"/>
      <c r="N512" s="382"/>
      <c r="O512" s="382"/>
      <c r="P512" s="382"/>
      <c r="Q512" s="382"/>
      <c r="R512" s="382"/>
      <c r="S512" s="382"/>
      <c r="T512" s="382"/>
      <c r="U512" s="382"/>
      <c r="V512" s="382"/>
      <c r="W512" s="382"/>
      <c r="X512" s="382"/>
      <c r="Y512" s="382"/>
      <c r="Z512" s="382"/>
      <c r="AA512" s="382"/>
      <c r="AB512" s="382"/>
      <c r="AC512" s="382"/>
      <c r="AD512" s="382"/>
      <c r="AE512" s="382"/>
      <c r="AF512" s="382"/>
      <c r="AG512" s="382"/>
      <c r="AH512" s="382"/>
      <c r="AI512" s="382"/>
      <c r="AJ512" s="382"/>
      <c r="AK512" s="382"/>
      <c r="AL512" s="382"/>
      <c r="AM512" s="382"/>
    </row>
    <row r="513" spans="2:39" ht="27.75" customHeight="1">
      <c r="B513" s="382"/>
      <c r="C513" s="382"/>
      <c r="D513" s="382"/>
      <c r="E513" s="382"/>
      <c r="F513" s="382"/>
      <c r="G513" s="382"/>
      <c r="H513" s="382"/>
      <c r="I513" s="382"/>
      <c r="J513" s="382"/>
      <c r="K513" s="382"/>
      <c r="L513" s="382"/>
      <c r="M513" s="382"/>
      <c r="N513" s="382"/>
      <c r="O513" s="382"/>
      <c r="P513" s="382"/>
      <c r="Q513" s="382"/>
      <c r="R513" s="382"/>
      <c r="S513" s="382"/>
      <c r="T513" s="382"/>
      <c r="U513" s="382"/>
      <c r="V513" s="382"/>
      <c r="W513" s="382"/>
      <c r="X513" s="382"/>
      <c r="Y513" s="382"/>
      <c r="Z513" s="382"/>
      <c r="AA513" s="382"/>
      <c r="AB513" s="382"/>
      <c r="AC513" s="382"/>
      <c r="AD513" s="382"/>
      <c r="AE513" s="382"/>
      <c r="AF513" s="382"/>
      <c r="AG513" s="382"/>
      <c r="AH513" s="382"/>
      <c r="AI513" s="382"/>
      <c r="AJ513" s="382"/>
      <c r="AK513" s="382"/>
      <c r="AL513" s="382"/>
      <c r="AM513" s="382"/>
    </row>
    <row r="514" spans="2:39" ht="27.75" customHeight="1">
      <c r="B514" s="382"/>
      <c r="C514" s="382"/>
      <c r="D514" s="382"/>
      <c r="E514" s="382"/>
      <c r="F514" s="382"/>
      <c r="G514" s="382"/>
      <c r="H514" s="382"/>
      <c r="I514" s="382"/>
      <c r="J514" s="382"/>
      <c r="K514" s="382"/>
      <c r="L514" s="382"/>
      <c r="M514" s="382"/>
      <c r="N514" s="382"/>
      <c r="O514" s="382"/>
      <c r="P514" s="382"/>
      <c r="Q514" s="382"/>
      <c r="R514" s="382"/>
      <c r="S514" s="382"/>
      <c r="T514" s="382"/>
      <c r="U514" s="382"/>
      <c r="V514" s="382"/>
      <c r="W514" s="382"/>
      <c r="X514" s="382"/>
      <c r="Y514" s="382"/>
      <c r="Z514" s="382"/>
      <c r="AA514" s="382"/>
      <c r="AB514" s="382"/>
      <c r="AC514" s="382"/>
      <c r="AD514" s="382"/>
      <c r="AE514" s="382"/>
      <c r="AF514" s="382"/>
      <c r="AG514" s="382"/>
      <c r="AH514" s="382"/>
      <c r="AI514" s="382"/>
      <c r="AJ514" s="382"/>
      <c r="AK514" s="382"/>
      <c r="AL514" s="382"/>
      <c r="AM514" s="382"/>
    </row>
    <row r="515" spans="2:39" ht="27.75" customHeight="1">
      <c r="B515" s="382"/>
      <c r="C515" s="382"/>
      <c r="D515" s="382"/>
      <c r="E515" s="382"/>
      <c r="F515" s="382"/>
      <c r="G515" s="382"/>
      <c r="H515" s="382"/>
      <c r="I515" s="382"/>
      <c r="J515" s="382"/>
      <c r="K515" s="382"/>
      <c r="L515" s="382"/>
      <c r="M515" s="382"/>
      <c r="N515" s="382"/>
      <c r="O515" s="382"/>
      <c r="P515" s="382"/>
      <c r="Q515" s="382"/>
      <c r="R515" s="382"/>
      <c r="S515" s="382"/>
      <c r="T515" s="382"/>
      <c r="U515" s="382"/>
      <c r="V515" s="382"/>
      <c r="W515" s="382"/>
      <c r="X515" s="382"/>
      <c r="Y515" s="382"/>
      <c r="Z515" s="382"/>
      <c r="AA515" s="382"/>
      <c r="AB515" s="382"/>
      <c r="AC515" s="382"/>
      <c r="AD515" s="382"/>
      <c r="AE515" s="382"/>
      <c r="AF515" s="382"/>
      <c r="AG515" s="382"/>
      <c r="AH515" s="382"/>
      <c r="AI515" s="382"/>
      <c r="AJ515" s="382"/>
      <c r="AK515" s="382"/>
      <c r="AL515" s="382"/>
      <c r="AM515" s="382"/>
    </row>
    <row r="516" spans="2:39" ht="27.75" customHeight="1">
      <c r="B516" s="382"/>
      <c r="C516" s="382"/>
      <c r="D516" s="382"/>
      <c r="E516" s="382"/>
      <c r="F516" s="382"/>
      <c r="G516" s="382"/>
      <c r="H516" s="382"/>
      <c r="I516" s="382"/>
      <c r="J516" s="382"/>
      <c r="K516" s="382"/>
      <c r="L516" s="382"/>
      <c r="M516" s="382"/>
      <c r="N516" s="382"/>
      <c r="O516" s="382"/>
      <c r="P516" s="382"/>
      <c r="Q516" s="382"/>
      <c r="R516" s="382"/>
      <c r="S516" s="382"/>
      <c r="T516" s="382"/>
      <c r="U516" s="382"/>
      <c r="V516" s="382"/>
      <c r="W516" s="382"/>
      <c r="X516" s="382"/>
      <c r="Y516" s="382"/>
      <c r="Z516" s="382"/>
      <c r="AA516" s="382"/>
      <c r="AB516" s="382"/>
      <c r="AC516" s="382"/>
      <c r="AD516" s="382"/>
      <c r="AE516" s="382"/>
      <c r="AF516" s="382"/>
      <c r="AG516" s="382"/>
      <c r="AH516" s="382"/>
      <c r="AI516" s="382"/>
      <c r="AJ516" s="382"/>
      <c r="AK516" s="382"/>
      <c r="AL516" s="382"/>
      <c r="AM516" s="382"/>
    </row>
    <row r="517" spans="2:39" ht="27.75" customHeight="1">
      <c r="B517" s="382"/>
      <c r="C517" s="382"/>
      <c r="D517" s="382"/>
      <c r="E517" s="382"/>
      <c r="F517" s="382"/>
      <c r="G517" s="382"/>
      <c r="H517" s="382"/>
      <c r="I517" s="382"/>
      <c r="J517" s="382"/>
      <c r="K517" s="382"/>
      <c r="L517" s="382"/>
      <c r="M517" s="382"/>
      <c r="N517" s="382"/>
      <c r="O517" s="382"/>
      <c r="P517" s="382"/>
      <c r="Q517" s="382"/>
      <c r="R517" s="382"/>
      <c r="S517" s="382"/>
      <c r="T517" s="382"/>
      <c r="U517" s="382"/>
      <c r="V517" s="382"/>
      <c r="W517" s="382"/>
      <c r="X517" s="382"/>
      <c r="Y517" s="382"/>
      <c r="Z517" s="382"/>
      <c r="AA517" s="382"/>
      <c r="AB517" s="382"/>
      <c r="AC517" s="382"/>
      <c r="AD517" s="382"/>
      <c r="AE517" s="382"/>
      <c r="AF517" s="382"/>
      <c r="AG517" s="382"/>
      <c r="AH517" s="382"/>
      <c r="AI517" s="382"/>
      <c r="AJ517" s="382"/>
      <c r="AK517" s="382"/>
      <c r="AL517" s="382"/>
      <c r="AM517" s="382"/>
    </row>
    <row r="518" spans="2:39" ht="27.75" customHeight="1">
      <c r="B518" s="382"/>
      <c r="C518" s="382"/>
      <c r="D518" s="382"/>
      <c r="E518" s="382"/>
      <c r="F518" s="382"/>
      <c r="G518" s="382"/>
      <c r="H518" s="382"/>
      <c r="I518" s="382"/>
      <c r="J518" s="382"/>
      <c r="K518" s="382"/>
      <c r="L518" s="382"/>
      <c r="M518" s="382"/>
      <c r="N518" s="382"/>
      <c r="O518" s="382"/>
      <c r="P518" s="382"/>
      <c r="Q518" s="382"/>
      <c r="R518" s="382"/>
      <c r="S518" s="382"/>
      <c r="T518" s="382"/>
      <c r="U518" s="382"/>
      <c r="V518" s="382"/>
      <c r="W518" s="382"/>
      <c r="X518" s="382"/>
      <c r="Y518" s="382"/>
      <c r="Z518" s="382"/>
      <c r="AA518" s="382"/>
      <c r="AB518" s="382"/>
      <c r="AC518" s="382"/>
      <c r="AD518" s="382"/>
      <c r="AE518" s="382"/>
      <c r="AF518" s="382"/>
      <c r="AG518" s="382"/>
      <c r="AH518" s="382"/>
      <c r="AI518" s="382"/>
      <c r="AJ518" s="382"/>
      <c r="AK518" s="382"/>
      <c r="AL518" s="382"/>
      <c r="AM518" s="382"/>
    </row>
    <row r="519" spans="2:39" ht="27.75" customHeight="1">
      <c r="B519" s="382"/>
      <c r="C519" s="382"/>
      <c r="D519" s="382"/>
      <c r="E519" s="382"/>
      <c r="F519" s="382"/>
      <c r="G519" s="382"/>
      <c r="H519" s="382"/>
      <c r="I519" s="382"/>
      <c r="J519" s="382"/>
      <c r="K519" s="382"/>
      <c r="L519" s="382"/>
      <c r="M519" s="382"/>
      <c r="N519" s="382"/>
      <c r="O519" s="382"/>
      <c r="P519" s="382"/>
      <c r="Q519" s="382"/>
      <c r="R519" s="382"/>
      <c r="S519" s="382"/>
      <c r="T519" s="382"/>
      <c r="U519" s="382"/>
      <c r="V519" s="382"/>
      <c r="W519" s="382"/>
      <c r="X519" s="382"/>
      <c r="Y519" s="382"/>
      <c r="Z519" s="382"/>
      <c r="AA519" s="382"/>
      <c r="AB519" s="382"/>
      <c r="AC519" s="382"/>
      <c r="AD519" s="382"/>
      <c r="AE519" s="382"/>
      <c r="AF519" s="382"/>
      <c r="AG519" s="382"/>
      <c r="AH519" s="382"/>
      <c r="AI519" s="382"/>
      <c r="AJ519" s="382"/>
      <c r="AK519" s="382"/>
      <c r="AL519" s="382"/>
      <c r="AM519" s="382"/>
    </row>
    <row r="520" spans="2:39" ht="27.75" customHeight="1">
      <c r="B520" s="382"/>
      <c r="C520" s="382"/>
      <c r="D520" s="382"/>
      <c r="E520" s="382"/>
      <c r="F520" s="382"/>
      <c r="G520" s="382"/>
      <c r="H520" s="382"/>
      <c r="I520" s="382"/>
      <c r="J520" s="382"/>
      <c r="K520" s="382"/>
      <c r="L520" s="382"/>
      <c r="M520" s="382"/>
      <c r="N520" s="382"/>
      <c r="O520" s="382"/>
      <c r="P520" s="382"/>
      <c r="Q520" s="382"/>
      <c r="R520" s="382"/>
      <c r="S520" s="382"/>
      <c r="T520" s="382"/>
      <c r="U520" s="382"/>
      <c r="V520" s="382"/>
      <c r="W520" s="382"/>
      <c r="X520" s="382"/>
      <c r="Y520" s="382"/>
      <c r="Z520" s="382"/>
      <c r="AA520" s="382"/>
      <c r="AB520" s="382"/>
      <c r="AC520" s="382"/>
      <c r="AD520" s="382"/>
      <c r="AE520" s="382"/>
      <c r="AF520" s="382"/>
      <c r="AG520" s="382"/>
      <c r="AH520" s="382"/>
      <c r="AI520" s="382"/>
      <c r="AJ520" s="382"/>
      <c r="AK520" s="382"/>
      <c r="AL520" s="382"/>
      <c r="AM520" s="382"/>
    </row>
    <row r="521" spans="2:39" ht="27.75" customHeight="1">
      <c r="B521" s="382"/>
      <c r="C521" s="382"/>
      <c r="D521" s="382"/>
      <c r="E521" s="382"/>
      <c r="F521" s="382"/>
      <c r="G521" s="382"/>
      <c r="H521" s="382"/>
      <c r="I521" s="382"/>
      <c r="J521" s="382"/>
      <c r="K521" s="382"/>
      <c r="L521" s="382"/>
      <c r="M521" s="382"/>
      <c r="N521" s="382"/>
      <c r="O521" s="382"/>
      <c r="P521" s="382"/>
      <c r="Q521" s="382"/>
      <c r="R521" s="382"/>
      <c r="S521" s="382"/>
      <c r="T521" s="382"/>
      <c r="U521" s="382"/>
      <c r="V521" s="382"/>
      <c r="W521" s="382"/>
      <c r="X521" s="382"/>
      <c r="Y521" s="382"/>
      <c r="Z521" s="382"/>
      <c r="AA521" s="382"/>
      <c r="AB521" s="382"/>
      <c r="AC521" s="382"/>
      <c r="AD521" s="382"/>
      <c r="AE521" s="382"/>
      <c r="AF521" s="382"/>
      <c r="AG521" s="382"/>
      <c r="AH521" s="382"/>
      <c r="AI521" s="382"/>
      <c r="AJ521" s="382"/>
      <c r="AK521" s="382"/>
      <c r="AL521" s="382"/>
      <c r="AM521" s="382"/>
    </row>
    <row r="522" spans="2:39" ht="27.75" customHeight="1">
      <c r="B522" s="382"/>
      <c r="C522" s="382"/>
      <c r="D522" s="382"/>
      <c r="E522" s="382"/>
      <c r="F522" s="382"/>
      <c r="G522" s="382"/>
      <c r="H522" s="382"/>
      <c r="I522" s="382"/>
      <c r="J522" s="382"/>
      <c r="K522" s="382"/>
      <c r="L522" s="382"/>
      <c r="M522" s="382"/>
      <c r="N522" s="382"/>
      <c r="O522" s="382"/>
      <c r="P522" s="382"/>
      <c r="Q522" s="382"/>
      <c r="R522" s="382"/>
      <c r="S522" s="382"/>
      <c r="T522" s="382"/>
      <c r="U522" s="382"/>
      <c r="V522" s="382"/>
      <c r="W522" s="382"/>
      <c r="X522" s="382"/>
      <c r="Y522" s="382"/>
      <c r="Z522" s="382"/>
      <c r="AA522" s="382"/>
      <c r="AB522" s="382"/>
      <c r="AC522" s="382"/>
      <c r="AD522" s="382"/>
      <c r="AE522" s="382"/>
      <c r="AF522" s="382"/>
      <c r="AG522" s="382"/>
      <c r="AH522" s="382"/>
      <c r="AI522" s="382"/>
      <c r="AJ522" s="382"/>
      <c r="AK522" s="382"/>
      <c r="AL522" s="382"/>
      <c r="AM522" s="382"/>
    </row>
    <row r="523" spans="2:39" ht="27.75" customHeight="1">
      <c r="B523" s="382"/>
      <c r="C523" s="382"/>
      <c r="D523" s="382"/>
      <c r="E523" s="382"/>
      <c r="F523" s="382"/>
      <c r="G523" s="382"/>
      <c r="H523" s="382"/>
      <c r="I523" s="382"/>
      <c r="J523" s="382"/>
      <c r="K523" s="382"/>
      <c r="L523" s="382"/>
      <c r="M523" s="382"/>
      <c r="N523" s="382"/>
      <c r="O523" s="382"/>
      <c r="P523" s="382"/>
      <c r="Q523" s="382"/>
      <c r="R523" s="382"/>
      <c r="S523" s="382"/>
      <c r="T523" s="382"/>
      <c r="U523" s="382"/>
      <c r="V523" s="382"/>
      <c r="W523" s="382"/>
      <c r="X523" s="382"/>
      <c r="Y523" s="382"/>
      <c r="Z523" s="382"/>
      <c r="AA523" s="382"/>
      <c r="AB523" s="382"/>
      <c r="AC523" s="382"/>
      <c r="AD523" s="382"/>
      <c r="AE523" s="382"/>
      <c r="AF523" s="382"/>
      <c r="AG523" s="382"/>
      <c r="AH523" s="382"/>
      <c r="AI523" s="382"/>
      <c r="AJ523" s="382"/>
      <c r="AK523" s="382"/>
      <c r="AL523" s="382"/>
      <c r="AM523" s="382"/>
    </row>
    <row r="524" spans="2:39" ht="27.75" customHeight="1">
      <c r="B524" s="382"/>
      <c r="C524" s="382"/>
      <c r="D524" s="382"/>
      <c r="E524" s="382"/>
      <c r="F524" s="382"/>
      <c r="G524" s="382"/>
      <c r="H524" s="382"/>
      <c r="I524" s="382"/>
      <c r="J524" s="382"/>
      <c r="K524" s="382"/>
      <c r="L524" s="382"/>
      <c r="M524" s="382"/>
      <c r="N524" s="382"/>
      <c r="O524" s="382"/>
      <c r="P524" s="382"/>
      <c r="Q524" s="382"/>
      <c r="R524" s="382"/>
      <c r="S524" s="382"/>
      <c r="T524" s="382"/>
      <c r="U524" s="382"/>
      <c r="V524" s="382"/>
      <c r="W524" s="382"/>
      <c r="X524" s="382"/>
      <c r="Y524" s="382"/>
      <c r="Z524" s="382"/>
      <c r="AA524" s="382"/>
      <c r="AB524" s="382"/>
      <c r="AC524" s="382"/>
      <c r="AD524" s="382"/>
      <c r="AE524" s="382"/>
      <c r="AF524" s="382"/>
      <c r="AG524" s="382"/>
      <c r="AH524" s="382"/>
      <c r="AI524" s="382"/>
      <c r="AJ524" s="382"/>
      <c r="AK524" s="382"/>
      <c r="AL524" s="382"/>
      <c r="AM524" s="382"/>
    </row>
    <row r="525" spans="2:39" ht="27.75" customHeight="1">
      <c r="B525" s="382"/>
      <c r="C525" s="382"/>
      <c r="D525" s="382"/>
      <c r="E525" s="382"/>
      <c r="F525" s="382"/>
      <c r="G525" s="382"/>
      <c r="H525" s="382"/>
      <c r="I525" s="382"/>
      <c r="J525" s="382"/>
      <c r="K525" s="382"/>
      <c r="L525" s="382"/>
      <c r="M525" s="382"/>
      <c r="N525" s="382"/>
      <c r="O525" s="382"/>
      <c r="P525" s="382"/>
      <c r="Q525" s="382"/>
      <c r="R525" s="382"/>
      <c r="S525" s="382"/>
      <c r="T525" s="382"/>
      <c r="U525" s="382"/>
      <c r="V525" s="382"/>
      <c r="W525" s="382"/>
      <c r="X525" s="382"/>
      <c r="Y525" s="382"/>
      <c r="Z525" s="382"/>
      <c r="AA525" s="382"/>
      <c r="AB525" s="382"/>
      <c r="AC525" s="382"/>
      <c r="AD525" s="382"/>
      <c r="AE525" s="382"/>
      <c r="AF525" s="382"/>
      <c r="AG525" s="382"/>
      <c r="AH525" s="382"/>
      <c r="AI525" s="382"/>
      <c r="AJ525" s="382"/>
      <c r="AK525" s="382"/>
      <c r="AL525" s="382"/>
      <c r="AM525" s="382"/>
    </row>
    <row r="526" spans="2:39" ht="27.75" customHeight="1">
      <c r="B526" s="382"/>
      <c r="C526" s="382"/>
      <c r="D526" s="382"/>
      <c r="E526" s="382"/>
      <c r="F526" s="382"/>
      <c r="G526" s="382"/>
      <c r="H526" s="382"/>
      <c r="I526" s="382"/>
      <c r="J526" s="382"/>
      <c r="K526" s="382"/>
      <c r="L526" s="382"/>
      <c r="M526" s="382"/>
      <c r="N526" s="382"/>
      <c r="O526" s="382"/>
      <c r="P526" s="382"/>
      <c r="Q526" s="382"/>
      <c r="R526" s="382"/>
      <c r="S526" s="382"/>
      <c r="T526" s="382"/>
      <c r="U526" s="382"/>
      <c r="V526" s="382"/>
      <c r="W526" s="382"/>
      <c r="X526" s="382"/>
      <c r="Y526" s="382"/>
      <c r="Z526" s="382"/>
      <c r="AA526" s="382"/>
      <c r="AB526" s="382"/>
      <c r="AC526" s="382"/>
      <c r="AD526" s="382"/>
      <c r="AE526" s="382"/>
      <c r="AF526" s="382"/>
      <c r="AG526" s="382"/>
      <c r="AH526" s="382"/>
      <c r="AI526" s="382"/>
      <c r="AJ526" s="382"/>
      <c r="AK526" s="382"/>
      <c r="AL526" s="382"/>
      <c r="AM526" s="382"/>
    </row>
    <row r="527" spans="2:39" ht="27.75" customHeight="1">
      <c r="B527" s="382"/>
      <c r="C527" s="382"/>
      <c r="D527" s="382"/>
      <c r="E527" s="382"/>
      <c r="F527" s="382"/>
      <c r="G527" s="382"/>
      <c r="H527" s="382"/>
      <c r="I527" s="382"/>
      <c r="J527" s="382"/>
      <c r="K527" s="382"/>
      <c r="L527" s="382"/>
      <c r="M527" s="382"/>
      <c r="N527" s="382"/>
      <c r="O527" s="382"/>
      <c r="P527" s="382"/>
      <c r="Q527" s="382"/>
      <c r="R527" s="382"/>
      <c r="S527" s="382"/>
      <c r="T527" s="382"/>
      <c r="U527" s="382"/>
      <c r="V527" s="382"/>
      <c r="W527" s="382"/>
      <c r="X527" s="382"/>
      <c r="Y527" s="382"/>
      <c r="Z527" s="382"/>
      <c r="AA527" s="382"/>
      <c r="AB527" s="382"/>
      <c r="AC527" s="382"/>
      <c r="AD527" s="382"/>
      <c r="AE527" s="382"/>
      <c r="AF527" s="382"/>
      <c r="AG527" s="382"/>
      <c r="AH527" s="382"/>
      <c r="AI527" s="382"/>
      <c r="AJ527" s="382"/>
      <c r="AK527" s="382"/>
      <c r="AL527" s="382"/>
      <c r="AM527" s="382"/>
    </row>
    <row r="528" spans="2:39" ht="27.75" customHeight="1">
      <c r="B528" s="382"/>
      <c r="C528" s="382"/>
      <c r="D528" s="382"/>
      <c r="E528" s="382"/>
      <c r="F528" s="382"/>
      <c r="G528" s="382"/>
      <c r="H528" s="382"/>
      <c r="I528" s="382"/>
      <c r="J528" s="382"/>
      <c r="K528" s="382"/>
      <c r="L528" s="382"/>
      <c r="M528" s="382"/>
      <c r="N528" s="382"/>
      <c r="O528" s="382"/>
      <c r="P528" s="382"/>
      <c r="Q528" s="382"/>
      <c r="R528" s="382"/>
      <c r="S528" s="382"/>
      <c r="T528" s="382"/>
      <c r="U528" s="382"/>
      <c r="V528" s="382"/>
      <c r="W528" s="382"/>
      <c r="X528" s="382"/>
      <c r="Y528" s="382"/>
      <c r="Z528" s="382"/>
      <c r="AA528" s="382"/>
      <c r="AB528" s="382"/>
      <c r="AC528" s="382"/>
      <c r="AD528" s="382"/>
      <c r="AE528" s="382"/>
      <c r="AF528" s="382"/>
      <c r="AG528" s="382"/>
      <c r="AH528" s="382"/>
      <c r="AI528" s="382"/>
      <c r="AJ528" s="382"/>
      <c r="AK528" s="382"/>
      <c r="AL528" s="382"/>
      <c r="AM528" s="382"/>
    </row>
    <row r="529" spans="2:39" ht="27.75" customHeight="1">
      <c r="B529" s="382"/>
      <c r="C529" s="382"/>
      <c r="D529" s="382"/>
      <c r="E529" s="382"/>
      <c r="F529" s="382"/>
      <c r="G529" s="382"/>
      <c r="H529" s="382"/>
      <c r="I529" s="382"/>
      <c r="J529" s="382"/>
      <c r="K529" s="382"/>
      <c r="L529" s="382"/>
      <c r="M529" s="382"/>
      <c r="N529" s="382"/>
      <c r="O529" s="382"/>
      <c r="P529" s="382"/>
      <c r="Q529" s="382"/>
      <c r="R529" s="382"/>
      <c r="S529" s="382"/>
      <c r="T529" s="382"/>
      <c r="U529" s="382"/>
      <c r="V529" s="382"/>
      <c r="W529" s="382"/>
      <c r="X529" s="382"/>
      <c r="Y529" s="382"/>
      <c r="Z529" s="382"/>
      <c r="AA529" s="382"/>
      <c r="AB529" s="382"/>
      <c r="AC529" s="382"/>
      <c r="AD529" s="382"/>
      <c r="AE529" s="382"/>
      <c r="AF529" s="382"/>
      <c r="AG529" s="382"/>
      <c r="AH529" s="382"/>
      <c r="AI529" s="382"/>
      <c r="AJ529" s="382"/>
      <c r="AK529" s="382"/>
      <c r="AL529" s="382"/>
      <c r="AM529" s="382"/>
    </row>
    <row r="530" spans="2:39" ht="27.75" customHeight="1">
      <c r="B530" s="382"/>
      <c r="C530" s="382"/>
      <c r="D530" s="382"/>
      <c r="E530" s="382"/>
      <c r="F530" s="382"/>
      <c r="G530" s="382"/>
      <c r="H530" s="382"/>
      <c r="I530" s="382"/>
      <c r="J530" s="382"/>
      <c r="K530" s="382"/>
      <c r="L530" s="382"/>
      <c r="M530" s="382"/>
      <c r="N530" s="382"/>
      <c r="O530" s="382"/>
      <c r="P530" s="382"/>
      <c r="Q530" s="382"/>
      <c r="R530" s="382"/>
      <c r="S530" s="382"/>
      <c r="T530" s="382"/>
      <c r="U530" s="382"/>
      <c r="V530" s="382"/>
      <c r="W530" s="382"/>
      <c r="X530" s="382"/>
      <c r="Y530" s="382"/>
      <c r="Z530" s="382"/>
      <c r="AA530" s="382"/>
      <c r="AB530" s="382"/>
      <c r="AC530" s="382"/>
      <c r="AD530" s="382"/>
      <c r="AE530" s="382"/>
      <c r="AF530" s="382"/>
      <c r="AG530" s="382"/>
      <c r="AH530" s="382"/>
      <c r="AI530" s="382"/>
      <c r="AJ530" s="382"/>
      <c r="AK530" s="382"/>
      <c r="AL530" s="382"/>
      <c r="AM530" s="382"/>
    </row>
    <row r="531" spans="2:39" ht="27.75" customHeight="1">
      <c r="B531" s="382"/>
      <c r="C531" s="382"/>
      <c r="D531" s="382"/>
      <c r="E531" s="382"/>
      <c r="F531" s="382"/>
      <c r="G531" s="382"/>
      <c r="H531" s="382"/>
      <c r="I531" s="382"/>
      <c r="J531" s="382"/>
      <c r="K531" s="382"/>
      <c r="L531" s="382"/>
      <c r="M531" s="382"/>
      <c r="N531" s="382"/>
      <c r="O531" s="382"/>
      <c r="P531" s="382"/>
      <c r="Q531" s="382"/>
      <c r="R531" s="382"/>
      <c r="S531" s="382"/>
      <c r="T531" s="382"/>
      <c r="U531" s="382"/>
      <c r="V531" s="382"/>
      <c r="W531" s="382"/>
      <c r="X531" s="382"/>
      <c r="Y531" s="382"/>
      <c r="Z531" s="382"/>
      <c r="AA531" s="382"/>
      <c r="AB531" s="382"/>
      <c r="AC531" s="382"/>
      <c r="AD531" s="382"/>
      <c r="AE531" s="382"/>
      <c r="AF531" s="382"/>
      <c r="AG531" s="382"/>
      <c r="AH531" s="382"/>
      <c r="AI531" s="382"/>
      <c r="AJ531" s="382"/>
      <c r="AK531" s="382"/>
      <c r="AL531" s="382"/>
      <c r="AM531" s="382"/>
    </row>
    <row r="532" spans="2:39" ht="27.75" customHeight="1">
      <c r="B532" s="382"/>
      <c r="C532" s="382"/>
      <c r="D532" s="382"/>
      <c r="E532" s="382"/>
      <c r="F532" s="382"/>
      <c r="G532" s="382"/>
      <c r="H532" s="382"/>
      <c r="I532" s="382"/>
      <c r="J532" s="382"/>
      <c r="K532" s="382"/>
      <c r="L532" s="382"/>
      <c r="M532" s="382"/>
      <c r="N532" s="382"/>
      <c r="O532" s="382"/>
      <c r="P532" s="382"/>
      <c r="Q532" s="382"/>
      <c r="R532" s="382"/>
      <c r="S532" s="382"/>
      <c r="T532" s="382"/>
      <c r="U532" s="382"/>
      <c r="V532" s="382"/>
      <c r="W532" s="382"/>
      <c r="X532" s="382"/>
      <c r="Y532" s="382"/>
      <c r="Z532" s="382"/>
      <c r="AA532" s="382"/>
      <c r="AB532" s="382"/>
      <c r="AC532" s="382"/>
      <c r="AD532" s="382"/>
      <c r="AE532" s="382"/>
      <c r="AF532" s="382"/>
      <c r="AG532" s="382"/>
      <c r="AH532" s="382"/>
      <c r="AI532" s="382"/>
      <c r="AJ532" s="382"/>
      <c r="AK532" s="382"/>
      <c r="AL532" s="382"/>
      <c r="AM532" s="382"/>
    </row>
    <row r="533" spans="2:39" ht="27.75" customHeight="1">
      <c r="B533" s="382"/>
      <c r="C533" s="382"/>
      <c r="D533" s="382"/>
      <c r="E533" s="382"/>
      <c r="F533" s="382"/>
      <c r="G533" s="382"/>
      <c r="H533" s="382"/>
      <c r="I533" s="382"/>
      <c r="J533" s="382"/>
      <c r="K533" s="382"/>
      <c r="L533" s="382"/>
      <c r="M533" s="382"/>
      <c r="N533" s="382"/>
      <c r="O533" s="382"/>
      <c r="P533" s="382"/>
      <c r="Q533" s="382"/>
      <c r="R533" s="382"/>
      <c r="S533" s="382"/>
      <c r="T533" s="382"/>
      <c r="U533" s="382"/>
      <c r="V533" s="382"/>
      <c r="W533" s="382"/>
      <c r="X533" s="382"/>
      <c r="Y533" s="382"/>
      <c r="Z533" s="382"/>
      <c r="AA533" s="382"/>
      <c r="AB533" s="382"/>
      <c r="AC533" s="382"/>
      <c r="AD533" s="382"/>
      <c r="AE533" s="382"/>
      <c r="AF533" s="382"/>
      <c r="AG533" s="382"/>
      <c r="AH533" s="382"/>
      <c r="AI533" s="382"/>
      <c r="AJ533" s="382"/>
      <c r="AK533" s="382"/>
      <c r="AL533" s="382"/>
      <c r="AM533" s="382"/>
    </row>
    <row r="534" spans="2:39" ht="27.75" customHeight="1">
      <c r="B534" s="382"/>
      <c r="C534" s="382"/>
      <c r="D534" s="382"/>
      <c r="E534" s="382"/>
      <c r="F534" s="382"/>
      <c r="G534" s="382"/>
      <c r="H534" s="382"/>
      <c r="I534" s="382"/>
      <c r="J534" s="382"/>
      <c r="K534" s="382"/>
      <c r="L534" s="382"/>
      <c r="M534" s="382"/>
      <c r="N534" s="382"/>
      <c r="O534" s="382"/>
      <c r="P534" s="382"/>
      <c r="Q534" s="382"/>
      <c r="R534" s="382"/>
      <c r="S534" s="382"/>
      <c r="T534" s="382"/>
      <c r="U534" s="382"/>
      <c r="V534" s="382"/>
      <c r="W534" s="382"/>
      <c r="X534" s="382"/>
      <c r="Y534" s="382"/>
      <c r="Z534" s="382"/>
      <c r="AA534" s="382"/>
      <c r="AB534" s="382"/>
      <c r="AC534" s="382"/>
      <c r="AD534" s="382"/>
      <c r="AE534" s="382"/>
      <c r="AF534" s="382"/>
      <c r="AG534" s="382"/>
      <c r="AH534" s="382"/>
      <c r="AI534" s="382"/>
      <c r="AJ534" s="382"/>
      <c r="AK534" s="382"/>
      <c r="AL534" s="382"/>
      <c r="AM534" s="382"/>
    </row>
    <row r="535" spans="2:39" ht="27.75" customHeight="1">
      <c r="B535" s="382"/>
      <c r="C535" s="382"/>
      <c r="D535" s="382"/>
      <c r="E535" s="382"/>
      <c r="F535" s="382"/>
      <c r="G535" s="382"/>
      <c r="H535" s="382"/>
      <c r="I535" s="382"/>
      <c r="J535" s="382"/>
      <c r="K535" s="382"/>
      <c r="L535" s="382"/>
      <c r="M535" s="382"/>
      <c r="N535" s="382"/>
      <c r="O535" s="382"/>
      <c r="P535" s="382"/>
      <c r="Q535" s="382"/>
      <c r="R535" s="382"/>
      <c r="S535" s="382"/>
      <c r="T535" s="382"/>
      <c r="U535" s="382"/>
      <c r="V535" s="382"/>
      <c r="W535" s="382"/>
      <c r="X535" s="382"/>
      <c r="Y535" s="382"/>
      <c r="Z535" s="382"/>
      <c r="AA535" s="382"/>
      <c r="AB535" s="382"/>
      <c r="AC535" s="382"/>
      <c r="AD535" s="382"/>
      <c r="AE535" s="382"/>
      <c r="AF535" s="382"/>
      <c r="AG535" s="382"/>
      <c r="AH535" s="382"/>
      <c r="AI535" s="382"/>
      <c r="AJ535" s="382"/>
      <c r="AK535" s="382"/>
      <c r="AL535" s="382"/>
      <c r="AM535" s="382"/>
    </row>
    <row r="536" spans="2:39" ht="27.75" customHeight="1">
      <c r="B536" s="382"/>
      <c r="C536" s="382"/>
      <c r="D536" s="382"/>
      <c r="E536" s="382"/>
      <c r="F536" s="382"/>
      <c r="G536" s="382"/>
      <c r="H536" s="382"/>
      <c r="I536" s="382"/>
      <c r="J536" s="382"/>
      <c r="K536" s="382"/>
      <c r="L536" s="382"/>
      <c r="M536" s="382"/>
      <c r="N536" s="382"/>
      <c r="O536" s="382"/>
      <c r="P536" s="382"/>
      <c r="Q536" s="382"/>
      <c r="R536" s="382"/>
      <c r="S536" s="382"/>
      <c r="T536" s="382"/>
      <c r="U536" s="382"/>
      <c r="V536" s="382"/>
      <c r="W536" s="382"/>
      <c r="X536" s="382"/>
      <c r="Y536" s="382"/>
      <c r="Z536" s="382"/>
      <c r="AA536" s="382"/>
      <c r="AB536" s="382"/>
      <c r="AC536" s="382"/>
      <c r="AD536" s="382"/>
      <c r="AE536" s="382"/>
      <c r="AF536" s="382"/>
      <c r="AG536" s="382"/>
      <c r="AH536" s="382"/>
      <c r="AI536" s="382"/>
      <c r="AJ536" s="382"/>
      <c r="AK536" s="382"/>
      <c r="AL536" s="382"/>
      <c r="AM536" s="382"/>
    </row>
    <row r="537" spans="2:39" ht="27.75" customHeight="1">
      <c r="B537" s="382"/>
      <c r="C537" s="382"/>
      <c r="D537" s="382"/>
      <c r="E537" s="382"/>
      <c r="F537" s="382"/>
      <c r="G537" s="382"/>
      <c r="H537" s="382"/>
      <c r="I537" s="382"/>
      <c r="J537" s="382"/>
      <c r="K537" s="382"/>
      <c r="L537" s="382"/>
      <c r="M537" s="382"/>
      <c r="N537" s="382"/>
      <c r="O537" s="382"/>
      <c r="P537" s="382"/>
      <c r="Q537" s="382"/>
      <c r="R537" s="382"/>
      <c r="S537" s="382"/>
      <c r="T537" s="382"/>
      <c r="U537" s="382"/>
      <c r="V537" s="382"/>
      <c r="W537" s="382"/>
      <c r="X537" s="382"/>
      <c r="Y537" s="382"/>
      <c r="Z537" s="382"/>
      <c r="AA537" s="382"/>
      <c r="AB537" s="382"/>
      <c r="AC537" s="382"/>
      <c r="AD537" s="382"/>
      <c r="AE537" s="382"/>
      <c r="AF537" s="382"/>
      <c r="AG537" s="382"/>
      <c r="AH537" s="382"/>
      <c r="AI537" s="382"/>
      <c r="AJ537" s="382"/>
      <c r="AK537" s="382"/>
      <c r="AL537" s="382"/>
      <c r="AM537" s="382"/>
    </row>
    <row r="538" spans="2:39" ht="27.75" customHeight="1">
      <c r="B538" s="382"/>
      <c r="C538" s="382"/>
      <c r="D538" s="382"/>
      <c r="E538" s="382"/>
      <c r="F538" s="382"/>
      <c r="G538" s="382"/>
      <c r="H538" s="382"/>
      <c r="I538" s="382"/>
      <c r="J538" s="382"/>
      <c r="K538" s="382"/>
      <c r="L538" s="382"/>
      <c r="M538" s="382"/>
      <c r="N538" s="382"/>
      <c r="O538" s="382"/>
      <c r="P538" s="382"/>
      <c r="Q538" s="382"/>
      <c r="R538" s="382"/>
      <c r="S538" s="382"/>
      <c r="T538" s="382"/>
      <c r="U538" s="382"/>
      <c r="V538" s="382"/>
      <c r="W538" s="382"/>
      <c r="X538" s="382"/>
      <c r="Y538" s="382"/>
      <c r="Z538" s="382"/>
      <c r="AA538" s="382"/>
      <c r="AB538" s="382"/>
      <c r="AC538" s="382"/>
      <c r="AD538" s="382"/>
      <c r="AE538" s="382"/>
      <c r="AF538" s="382"/>
      <c r="AG538" s="382"/>
      <c r="AH538" s="382"/>
      <c r="AI538" s="382"/>
      <c r="AJ538" s="382"/>
      <c r="AK538" s="382"/>
      <c r="AL538" s="382"/>
      <c r="AM538" s="382"/>
    </row>
    <row r="539" spans="2:39" ht="27.75" customHeight="1">
      <c r="B539" s="382"/>
      <c r="C539" s="382"/>
      <c r="D539" s="382"/>
      <c r="E539" s="382"/>
      <c r="F539" s="382"/>
      <c r="G539" s="382"/>
      <c r="H539" s="382"/>
      <c r="I539" s="382"/>
      <c r="J539" s="382"/>
      <c r="K539" s="382"/>
      <c r="L539" s="382"/>
      <c r="M539" s="382"/>
      <c r="N539" s="382"/>
      <c r="O539" s="382"/>
      <c r="P539" s="382"/>
      <c r="Q539" s="382"/>
      <c r="R539" s="382"/>
      <c r="S539" s="382"/>
      <c r="T539" s="382"/>
      <c r="U539" s="382"/>
      <c r="V539" s="382"/>
      <c r="W539" s="382"/>
      <c r="X539" s="382"/>
      <c r="Y539" s="382"/>
      <c r="Z539" s="382"/>
      <c r="AA539" s="382"/>
      <c r="AB539" s="382"/>
      <c r="AC539" s="382"/>
      <c r="AD539" s="382"/>
      <c r="AE539" s="382"/>
      <c r="AF539" s="382"/>
      <c r="AG539" s="382"/>
      <c r="AH539" s="382"/>
      <c r="AI539" s="382"/>
      <c r="AJ539" s="382"/>
      <c r="AK539" s="382"/>
      <c r="AL539" s="382"/>
      <c r="AM539" s="382"/>
    </row>
    <row r="540" spans="2:39" ht="27.75" customHeight="1">
      <c r="B540" s="382"/>
      <c r="C540" s="382"/>
      <c r="D540" s="382"/>
      <c r="E540" s="382"/>
      <c r="F540" s="382"/>
      <c r="G540" s="382"/>
      <c r="H540" s="382"/>
      <c r="I540" s="382"/>
      <c r="J540" s="382"/>
      <c r="K540" s="382"/>
      <c r="L540" s="382"/>
      <c r="M540" s="382"/>
      <c r="N540" s="382"/>
      <c r="O540" s="382"/>
      <c r="P540" s="382"/>
      <c r="Q540" s="382"/>
      <c r="R540" s="382"/>
      <c r="S540" s="382"/>
      <c r="T540" s="382"/>
      <c r="U540" s="382"/>
      <c r="V540" s="382"/>
      <c r="W540" s="382"/>
      <c r="X540" s="382"/>
      <c r="Y540" s="382"/>
      <c r="Z540" s="382"/>
      <c r="AA540" s="382"/>
      <c r="AB540" s="382"/>
      <c r="AC540" s="382"/>
      <c r="AD540" s="382"/>
      <c r="AE540" s="382"/>
      <c r="AF540" s="382"/>
      <c r="AG540" s="382"/>
      <c r="AH540" s="382"/>
      <c r="AI540" s="382"/>
      <c r="AJ540" s="382"/>
      <c r="AK540" s="382"/>
      <c r="AL540" s="382"/>
      <c r="AM540" s="382"/>
    </row>
    <row r="541" spans="2:39" ht="27.75" customHeight="1">
      <c r="B541" s="382"/>
      <c r="C541" s="382"/>
      <c r="D541" s="382"/>
      <c r="E541" s="382"/>
      <c r="F541" s="382"/>
      <c r="G541" s="382"/>
      <c r="H541" s="382"/>
      <c r="I541" s="382"/>
      <c r="J541" s="382"/>
      <c r="K541" s="382"/>
      <c r="L541" s="382"/>
      <c r="M541" s="382"/>
      <c r="N541" s="382"/>
      <c r="O541" s="382"/>
      <c r="P541" s="382"/>
      <c r="Q541" s="382"/>
      <c r="R541" s="382"/>
      <c r="S541" s="382"/>
      <c r="T541" s="382"/>
      <c r="U541" s="382"/>
      <c r="V541" s="382"/>
      <c r="W541" s="382"/>
      <c r="X541" s="382"/>
      <c r="Y541" s="382"/>
      <c r="Z541" s="382"/>
      <c r="AA541" s="382"/>
      <c r="AB541" s="382"/>
      <c r="AC541" s="382"/>
      <c r="AD541" s="382"/>
      <c r="AE541" s="382"/>
      <c r="AF541" s="382"/>
      <c r="AG541" s="382"/>
      <c r="AH541" s="382"/>
      <c r="AI541" s="382"/>
      <c r="AJ541" s="382"/>
      <c r="AK541" s="382"/>
      <c r="AL541" s="382"/>
      <c r="AM541" s="382"/>
    </row>
    <row r="542" spans="2:39" ht="27.75" customHeight="1">
      <c r="B542" s="382"/>
      <c r="C542" s="382"/>
      <c r="D542" s="382"/>
      <c r="E542" s="382"/>
      <c r="F542" s="382"/>
      <c r="G542" s="382"/>
      <c r="H542" s="382"/>
      <c r="I542" s="382"/>
      <c r="J542" s="382"/>
      <c r="K542" s="382"/>
      <c r="L542" s="382"/>
      <c r="M542" s="382"/>
      <c r="N542" s="382"/>
      <c r="O542" s="382"/>
      <c r="P542" s="382"/>
      <c r="Q542" s="382"/>
      <c r="R542" s="382"/>
      <c r="S542" s="382"/>
      <c r="T542" s="382"/>
      <c r="U542" s="382"/>
      <c r="V542" s="382"/>
      <c r="W542" s="382"/>
      <c r="X542" s="382"/>
      <c r="Y542" s="382"/>
      <c r="Z542" s="382"/>
      <c r="AA542" s="382"/>
      <c r="AB542" s="382"/>
      <c r="AC542" s="382"/>
      <c r="AD542" s="382"/>
      <c r="AE542" s="382"/>
      <c r="AF542" s="382"/>
      <c r="AG542" s="382"/>
      <c r="AH542" s="382"/>
      <c r="AI542" s="382"/>
      <c r="AJ542" s="382"/>
      <c r="AK542" s="382"/>
      <c r="AL542" s="382"/>
      <c r="AM542" s="382"/>
    </row>
    <row r="543" spans="2:39" ht="27.75" customHeight="1">
      <c r="B543" s="382"/>
      <c r="C543" s="382"/>
      <c r="D543" s="382"/>
      <c r="E543" s="382"/>
      <c r="F543" s="382"/>
      <c r="G543" s="382"/>
      <c r="H543" s="382"/>
      <c r="I543" s="382"/>
      <c r="J543" s="382"/>
      <c r="K543" s="382"/>
      <c r="L543" s="382"/>
      <c r="M543" s="382"/>
      <c r="N543" s="382"/>
      <c r="O543" s="382"/>
      <c r="P543" s="382"/>
      <c r="Q543" s="382"/>
      <c r="R543" s="382"/>
      <c r="S543" s="382"/>
      <c r="T543" s="382"/>
      <c r="U543" s="382"/>
      <c r="V543" s="382"/>
      <c r="W543" s="382"/>
      <c r="X543" s="382"/>
      <c r="Y543" s="382"/>
      <c r="Z543" s="382"/>
      <c r="AA543" s="382"/>
      <c r="AB543" s="382"/>
      <c r="AC543" s="382"/>
      <c r="AD543" s="382"/>
      <c r="AE543" s="382"/>
      <c r="AF543" s="382"/>
      <c r="AG543" s="382"/>
      <c r="AH543" s="382"/>
      <c r="AI543" s="382"/>
      <c r="AJ543" s="382"/>
      <c r="AK543" s="382"/>
      <c r="AL543" s="382"/>
      <c r="AM543" s="382"/>
    </row>
    <row r="544" spans="2:39" ht="27.75" customHeight="1">
      <c r="B544" s="382"/>
      <c r="C544" s="382"/>
      <c r="D544" s="382"/>
      <c r="E544" s="382"/>
      <c r="F544" s="382"/>
      <c r="G544" s="382"/>
      <c r="H544" s="382"/>
      <c r="I544" s="382"/>
      <c r="J544" s="382"/>
      <c r="K544" s="382"/>
      <c r="L544" s="382"/>
      <c r="M544" s="382"/>
      <c r="N544" s="382"/>
      <c r="O544" s="382"/>
      <c r="P544" s="382"/>
      <c r="Q544" s="382"/>
      <c r="R544" s="382"/>
      <c r="S544" s="382"/>
      <c r="T544" s="382"/>
      <c r="U544" s="382"/>
      <c r="V544" s="382"/>
      <c r="W544" s="382"/>
      <c r="X544" s="382"/>
      <c r="Y544" s="382"/>
      <c r="Z544" s="382"/>
      <c r="AA544" s="382"/>
      <c r="AB544" s="382"/>
      <c r="AC544" s="382"/>
      <c r="AD544" s="382"/>
      <c r="AE544" s="382"/>
      <c r="AF544" s="382"/>
      <c r="AG544" s="382"/>
      <c r="AH544" s="382"/>
      <c r="AI544" s="382"/>
      <c r="AJ544" s="382"/>
      <c r="AK544" s="382"/>
      <c r="AL544" s="382"/>
      <c r="AM544" s="382"/>
    </row>
    <row r="545" spans="2:39" ht="27.75" customHeight="1">
      <c r="B545" s="382"/>
      <c r="C545" s="382"/>
      <c r="D545" s="382"/>
      <c r="E545" s="382"/>
      <c r="F545" s="382"/>
      <c r="G545" s="382"/>
      <c r="H545" s="382"/>
      <c r="I545" s="382"/>
      <c r="J545" s="382"/>
      <c r="K545" s="382"/>
      <c r="L545" s="382"/>
      <c r="M545" s="382"/>
      <c r="N545" s="382"/>
      <c r="O545" s="382"/>
      <c r="P545" s="382"/>
      <c r="Q545" s="382"/>
      <c r="R545" s="382"/>
      <c r="S545" s="382"/>
      <c r="T545" s="382"/>
      <c r="U545" s="382"/>
      <c r="V545" s="382"/>
      <c r="W545" s="382"/>
      <c r="X545" s="382"/>
      <c r="Y545" s="382"/>
      <c r="Z545" s="382"/>
      <c r="AA545" s="382"/>
      <c r="AB545" s="382"/>
      <c r="AC545" s="382"/>
      <c r="AD545" s="382"/>
      <c r="AE545" s="382"/>
      <c r="AF545" s="382"/>
      <c r="AG545" s="382"/>
      <c r="AH545" s="382"/>
      <c r="AI545" s="382"/>
      <c r="AJ545" s="382"/>
      <c r="AK545" s="382"/>
      <c r="AL545" s="382"/>
      <c r="AM545" s="382"/>
    </row>
    <row r="546" spans="2:39" ht="27.75" customHeight="1">
      <c r="B546" s="382"/>
      <c r="C546" s="382"/>
      <c r="D546" s="382"/>
      <c r="E546" s="382"/>
      <c r="F546" s="382"/>
      <c r="G546" s="382"/>
      <c r="H546" s="382"/>
      <c r="I546" s="382"/>
      <c r="J546" s="382"/>
      <c r="K546" s="382"/>
      <c r="L546" s="382"/>
      <c r="M546" s="382"/>
      <c r="N546" s="382"/>
      <c r="O546" s="382"/>
      <c r="P546" s="382"/>
      <c r="Q546" s="382"/>
      <c r="R546" s="382"/>
      <c r="S546" s="382"/>
      <c r="T546" s="382"/>
      <c r="U546" s="382"/>
      <c r="V546" s="382"/>
      <c r="W546" s="382"/>
      <c r="X546" s="382"/>
      <c r="Y546" s="382"/>
      <c r="Z546" s="382"/>
      <c r="AA546" s="382"/>
      <c r="AB546" s="382"/>
      <c r="AC546" s="382"/>
      <c r="AD546" s="382"/>
      <c r="AE546" s="382"/>
      <c r="AF546" s="382"/>
      <c r="AG546" s="382"/>
      <c r="AH546" s="382"/>
      <c r="AI546" s="382"/>
      <c r="AJ546" s="382"/>
      <c r="AK546" s="382"/>
      <c r="AL546" s="382"/>
      <c r="AM546" s="382"/>
    </row>
    <row r="547" spans="2:39" ht="27.75" customHeight="1">
      <c r="B547" s="382"/>
      <c r="C547" s="382"/>
      <c r="D547" s="382"/>
      <c r="E547" s="382"/>
      <c r="F547" s="382"/>
      <c r="G547" s="382"/>
      <c r="H547" s="382"/>
      <c r="I547" s="382"/>
      <c r="J547" s="382"/>
      <c r="K547" s="382"/>
      <c r="L547" s="382"/>
      <c r="M547" s="382"/>
      <c r="N547" s="382"/>
      <c r="O547" s="382"/>
      <c r="P547" s="382"/>
      <c r="Q547" s="382"/>
      <c r="R547" s="382"/>
      <c r="S547" s="382"/>
      <c r="T547" s="382"/>
      <c r="U547" s="382"/>
      <c r="V547" s="382"/>
      <c r="W547" s="382"/>
      <c r="X547" s="382"/>
      <c r="Y547" s="382"/>
      <c r="Z547" s="382"/>
      <c r="AA547" s="382"/>
      <c r="AB547" s="382"/>
      <c r="AC547" s="382"/>
      <c r="AD547" s="382"/>
      <c r="AE547" s="382"/>
      <c r="AF547" s="382"/>
      <c r="AG547" s="382"/>
      <c r="AH547" s="382"/>
      <c r="AI547" s="382"/>
      <c r="AJ547" s="382"/>
      <c r="AK547" s="382"/>
      <c r="AL547" s="382"/>
      <c r="AM547" s="382"/>
    </row>
    <row r="548" spans="2:39" ht="27.75" customHeight="1">
      <c r="B548" s="382"/>
      <c r="C548" s="382"/>
      <c r="D548" s="382"/>
      <c r="E548" s="382"/>
      <c r="F548" s="382"/>
      <c r="G548" s="382"/>
      <c r="H548" s="382"/>
      <c r="I548" s="382"/>
      <c r="J548" s="382"/>
      <c r="K548" s="382"/>
      <c r="L548" s="382"/>
      <c r="M548" s="382"/>
      <c r="N548" s="382"/>
      <c r="O548" s="382"/>
      <c r="P548" s="382"/>
      <c r="Q548" s="382"/>
      <c r="R548" s="382"/>
      <c r="S548" s="382"/>
      <c r="T548" s="382"/>
      <c r="U548" s="382"/>
      <c r="V548" s="382"/>
      <c r="W548" s="382"/>
      <c r="X548" s="382"/>
      <c r="Y548" s="382"/>
      <c r="Z548" s="382"/>
      <c r="AA548" s="382"/>
      <c r="AB548" s="382"/>
      <c r="AC548" s="382"/>
      <c r="AD548" s="382"/>
      <c r="AE548" s="382"/>
      <c r="AF548" s="382"/>
      <c r="AG548" s="382"/>
      <c r="AH548" s="382"/>
      <c r="AI548" s="382"/>
      <c r="AJ548" s="382"/>
      <c r="AK548" s="382"/>
      <c r="AL548" s="382"/>
      <c r="AM548" s="382"/>
    </row>
    <row r="549" spans="2:39" ht="27.75" customHeight="1">
      <c r="B549" s="382"/>
      <c r="C549" s="382"/>
      <c r="D549" s="382"/>
      <c r="E549" s="382"/>
      <c r="F549" s="382"/>
      <c r="G549" s="382"/>
      <c r="H549" s="382"/>
      <c r="I549" s="382"/>
      <c r="J549" s="382"/>
      <c r="K549" s="382"/>
      <c r="L549" s="382"/>
      <c r="M549" s="382"/>
      <c r="N549" s="382"/>
      <c r="O549" s="382"/>
      <c r="P549" s="382"/>
      <c r="Q549" s="382"/>
      <c r="R549" s="382"/>
      <c r="S549" s="382"/>
      <c r="T549" s="382"/>
      <c r="U549" s="382"/>
      <c r="V549" s="382"/>
      <c r="W549" s="382"/>
      <c r="X549" s="382"/>
      <c r="Y549" s="382"/>
      <c r="Z549" s="382"/>
      <c r="AA549" s="382"/>
      <c r="AB549" s="382"/>
      <c r="AC549" s="382"/>
      <c r="AD549" s="382"/>
      <c r="AE549" s="382"/>
      <c r="AF549" s="382"/>
      <c r="AG549" s="382"/>
      <c r="AH549" s="382"/>
      <c r="AI549" s="382"/>
      <c r="AJ549" s="382"/>
      <c r="AK549" s="382"/>
      <c r="AL549" s="382"/>
      <c r="AM549" s="382"/>
    </row>
    <row r="550" spans="2:39" ht="27.75" customHeight="1">
      <c r="B550" s="382"/>
      <c r="C550" s="382"/>
      <c r="D550" s="382"/>
      <c r="E550" s="382"/>
      <c r="F550" s="382"/>
      <c r="G550" s="382"/>
      <c r="H550" s="382"/>
      <c r="I550" s="382"/>
      <c r="J550" s="382"/>
      <c r="K550" s="382"/>
      <c r="L550" s="382"/>
      <c r="M550" s="382"/>
      <c r="N550" s="382"/>
      <c r="O550" s="382"/>
      <c r="P550" s="382"/>
      <c r="Q550" s="382"/>
      <c r="R550" s="382"/>
      <c r="S550" s="382"/>
      <c r="T550" s="382"/>
      <c r="U550" s="382"/>
      <c r="V550" s="382"/>
      <c r="W550" s="382"/>
      <c r="X550" s="382"/>
      <c r="Y550" s="382"/>
      <c r="Z550" s="382"/>
      <c r="AA550" s="382"/>
      <c r="AB550" s="382"/>
      <c r="AC550" s="382"/>
      <c r="AD550" s="382"/>
      <c r="AE550" s="382"/>
      <c r="AF550" s="382"/>
      <c r="AG550" s="382"/>
      <c r="AH550" s="382"/>
      <c r="AI550" s="382"/>
      <c r="AJ550" s="382"/>
      <c r="AK550" s="382"/>
      <c r="AL550" s="382"/>
      <c r="AM550" s="382"/>
    </row>
    <row r="551" spans="2:39" ht="27.75" customHeight="1">
      <c r="B551" s="382"/>
      <c r="C551" s="382"/>
      <c r="D551" s="382"/>
      <c r="E551" s="382"/>
      <c r="F551" s="382"/>
      <c r="G551" s="382"/>
      <c r="H551" s="382"/>
      <c r="I551" s="382"/>
      <c r="J551" s="382"/>
      <c r="K551" s="382"/>
      <c r="L551" s="382"/>
      <c r="M551" s="382"/>
      <c r="N551" s="382"/>
      <c r="O551" s="382"/>
      <c r="P551" s="382"/>
      <c r="Q551" s="382"/>
      <c r="R551" s="382"/>
      <c r="S551" s="382"/>
      <c r="T551" s="382"/>
      <c r="U551" s="382"/>
      <c r="V551" s="382"/>
      <c r="W551" s="382"/>
      <c r="X551" s="382"/>
      <c r="Y551" s="382"/>
      <c r="Z551" s="382"/>
      <c r="AA551" s="382"/>
      <c r="AB551" s="382"/>
      <c r="AC551" s="382"/>
      <c r="AD551" s="382"/>
      <c r="AE551" s="382"/>
      <c r="AF551" s="382"/>
      <c r="AG551" s="382"/>
      <c r="AH551" s="382"/>
      <c r="AI551" s="382"/>
      <c r="AJ551" s="382"/>
      <c r="AK551" s="382"/>
      <c r="AL551" s="382"/>
      <c r="AM551" s="382"/>
    </row>
    <row r="552" spans="2:39" ht="27.75" customHeight="1">
      <c r="B552" s="382"/>
      <c r="C552" s="382"/>
      <c r="D552" s="382"/>
      <c r="E552" s="382"/>
      <c r="F552" s="382"/>
      <c r="G552" s="382"/>
      <c r="H552" s="382"/>
      <c r="I552" s="382"/>
      <c r="J552" s="382"/>
      <c r="K552" s="382"/>
      <c r="L552" s="382"/>
      <c r="M552" s="382"/>
      <c r="N552" s="382"/>
      <c r="O552" s="382"/>
      <c r="P552" s="382"/>
      <c r="Q552" s="382"/>
      <c r="R552" s="382"/>
      <c r="S552" s="382"/>
      <c r="T552" s="382"/>
      <c r="U552" s="382"/>
      <c r="V552" s="382"/>
      <c r="W552" s="382"/>
      <c r="X552" s="382"/>
      <c r="Y552" s="382"/>
      <c r="Z552" s="382"/>
      <c r="AA552" s="382"/>
      <c r="AB552" s="382"/>
      <c r="AC552" s="382"/>
      <c r="AD552" s="382"/>
      <c r="AE552" s="382"/>
      <c r="AF552" s="382"/>
      <c r="AG552" s="382"/>
      <c r="AH552" s="382"/>
      <c r="AI552" s="382"/>
      <c r="AJ552" s="382"/>
      <c r="AK552" s="382"/>
      <c r="AL552" s="382"/>
      <c r="AM552" s="382"/>
    </row>
    <row r="553" spans="2:39" ht="27.75" customHeight="1">
      <c r="B553" s="382"/>
      <c r="C553" s="382"/>
      <c r="D553" s="382"/>
      <c r="E553" s="382"/>
      <c r="F553" s="382"/>
      <c r="G553" s="382"/>
      <c r="H553" s="382"/>
      <c r="I553" s="382"/>
      <c r="J553" s="382"/>
      <c r="K553" s="382"/>
      <c r="L553" s="382"/>
      <c r="M553" s="382"/>
      <c r="N553" s="382"/>
      <c r="O553" s="382"/>
      <c r="P553" s="382"/>
      <c r="Q553" s="382"/>
      <c r="R553" s="382"/>
      <c r="S553" s="382"/>
      <c r="T553" s="382"/>
      <c r="U553" s="382"/>
      <c r="V553" s="382"/>
      <c r="W553" s="382"/>
      <c r="X553" s="382"/>
      <c r="Y553" s="382"/>
      <c r="Z553" s="382"/>
      <c r="AA553" s="382"/>
      <c r="AB553" s="382"/>
      <c r="AC553" s="382"/>
      <c r="AD553" s="382"/>
      <c r="AE553" s="382"/>
      <c r="AF553" s="382"/>
      <c r="AG553" s="382"/>
      <c r="AH553" s="382"/>
      <c r="AI553" s="382"/>
      <c r="AJ553" s="382"/>
      <c r="AK553" s="382"/>
      <c r="AL553" s="382"/>
      <c r="AM553" s="382"/>
    </row>
    <row r="554" spans="2:39" ht="27.75" customHeight="1">
      <c r="B554" s="382"/>
      <c r="C554" s="382"/>
      <c r="D554" s="382"/>
      <c r="E554" s="382"/>
      <c r="F554" s="382"/>
      <c r="G554" s="382"/>
      <c r="H554" s="382"/>
      <c r="I554" s="382"/>
      <c r="J554" s="382"/>
      <c r="K554" s="382"/>
      <c r="L554" s="382"/>
      <c r="M554" s="382"/>
      <c r="N554" s="382"/>
      <c r="O554" s="382"/>
      <c r="P554" s="382"/>
      <c r="Q554" s="382"/>
      <c r="R554" s="382"/>
      <c r="S554" s="382"/>
      <c r="T554" s="382"/>
      <c r="U554" s="382"/>
      <c r="V554" s="382"/>
      <c r="W554" s="382"/>
      <c r="X554" s="382"/>
      <c r="Y554" s="382"/>
      <c r="Z554" s="382"/>
      <c r="AA554" s="382"/>
      <c r="AB554" s="382"/>
      <c r="AC554" s="382"/>
      <c r="AD554" s="382"/>
      <c r="AE554" s="382"/>
      <c r="AF554" s="382"/>
      <c r="AG554" s="382"/>
      <c r="AH554" s="382"/>
      <c r="AI554" s="382"/>
      <c r="AJ554" s="382"/>
      <c r="AK554" s="382"/>
      <c r="AL554" s="382"/>
      <c r="AM554" s="382"/>
    </row>
    <row r="555" spans="2:39" ht="27.75" customHeight="1">
      <c r="B555" s="382"/>
      <c r="C555" s="382"/>
      <c r="D555" s="382"/>
      <c r="E555" s="382"/>
      <c r="F555" s="382"/>
      <c r="G555" s="382"/>
      <c r="H555" s="382"/>
      <c r="I555" s="382"/>
      <c r="J555" s="382"/>
      <c r="K555" s="382"/>
      <c r="L555" s="382"/>
      <c r="M555" s="382"/>
      <c r="N555" s="382"/>
      <c r="O555" s="382"/>
      <c r="P555" s="382"/>
      <c r="Q555" s="382"/>
      <c r="R555" s="382"/>
      <c r="S555" s="382"/>
      <c r="T555" s="382"/>
      <c r="U555" s="382"/>
      <c r="V555" s="382"/>
      <c r="W555" s="382"/>
      <c r="X555" s="382"/>
      <c r="Y555" s="382"/>
      <c r="Z555" s="382"/>
      <c r="AA555" s="382"/>
      <c r="AB555" s="382"/>
      <c r="AC555" s="382"/>
      <c r="AD555" s="382"/>
      <c r="AE555" s="382"/>
      <c r="AF555" s="382"/>
      <c r="AG555" s="382"/>
      <c r="AH555" s="382"/>
      <c r="AI555" s="382"/>
      <c r="AJ555" s="382"/>
      <c r="AK555" s="382"/>
      <c r="AL555" s="382"/>
      <c r="AM555" s="382"/>
    </row>
    <row r="556" spans="2:39" ht="27.75" customHeight="1">
      <c r="B556" s="382"/>
      <c r="C556" s="382"/>
      <c r="D556" s="382"/>
      <c r="E556" s="382"/>
      <c r="F556" s="382"/>
      <c r="G556" s="382"/>
      <c r="H556" s="382"/>
      <c r="I556" s="382"/>
      <c r="J556" s="382"/>
      <c r="K556" s="382"/>
      <c r="L556" s="382"/>
      <c r="M556" s="382"/>
      <c r="N556" s="382"/>
      <c r="O556" s="382"/>
      <c r="P556" s="382"/>
      <c r="Q556" s="382"/>
      <c r="R556" s="382"/>
      <c r="S556" s="382"/>
      <c r="T556" s="382"/>
      <c r="U556" s="382"/>
      <c r="V556" s="382"/>
      <c r="W556" s="382"/>
      <c r="X556" s="382"/>
      <c r="Y556" s="382"/>
      <c r="Z556" s="382"/>
      <c r="AA556" s="382"/>
      <c r="AB556" s="382"/>
      <c r="AC556" s="382"/>
      <c r="AD556" s="382"/>
      <c r="AE556" s="382"/>
      <c r="AF556" s="382"/>
      <c r="AG556" s="382"/>
      <c r="AH556" s="382"/>
      <c r="AI556" s="382"/>
      <c r="AJ556" s="382"/>
      <c r="AK556" s="382"/>
      <c r="AL556" s="382"/>
      <c r="AM556" s="382"/>
    </row>
  </sheetData>
  <mergeCells count="49">
    <mergeCell ref="B246:S246"/>
    <mergeCell ref="AF5:AG6"/>
    <mergeCell ref="AF7:AF9"/>
    <mergeCell ref="AG7:AG9"/>
    <mergeCell ref="AH5:AK6"/>
    <mergeCell ref="AH7:AH9"/>
    <mergeCell ref="AI7:AK8"/>
    <mergeCell ref="AB7:AB9"/>
    <mergeCell ref="AC7:AE8"/>
    <mergeCell ref="T8:T9"/>
    <mergeCell ref="U8:W8"/>
    <mergeCell ref="X8:X9"/>
    <mergeCell ref="Y8:AA8"/>
    <mergeCell ref="P7:P9"/>
    <mergeCell ref="Q7:Q9"/>
    <mergeCell ref="R7:R9"/>
    <mergeCell ref="S7:S9"/>
    <mergeCell ref="T7:W7"/>
    <mergeCell ref="X7:AA7"/>
    <mergeCell ref="N6:O6"/>
    <mergeCell ref="P6:Q6"/>
    <mergeCell ref="R5:S6"/>
    <mergeCell ref="T5:AA6"/>
    <mergeCell ref="M7:M9"/>
    <mergeCell ref="N7:N9"/>
    <mergeCell ref="O7:O9"/>
    <mergeCell ref="G5:I5"/>
    <mergeCell ref="J5:Q5"/>
    <mergeCell ref="H7:H9"/>
    <mergeCell ref="I7:I9"/>
    <mergeCell ref="J7:J9"/>
    <mergeCell ref="K7:K9"/>
    <mergeCell ref="L7:L9"/>
    <mergeCell ref="A1:AL1"/>
    <mergeCell ref="A2:AL2"/>
    <mergeCell ref="A3:AL3"/>
    <mergeCell ref="A4:AL4"/>
    <mergeCell ref="A5:A9"/>
    <mergeCell ref="B5:B9"/>
    <mergeCell ref="C5:C9"/>
    <mergeCell ref="D5:D9"/>
    <mergeCell ref="E5:E9"/>
    <mergeCell ref="F5:F9"/>
    <mergeCell ref="AB5:AE6"/>
    <mergeCell ref="AL5:AL9"/>
    <mergeCell ref="G6:G9"/>
    <mergeCell ref="H6:I6"/>
    <mergeCell ref="J6:K6"/>
    <mergeCell ref="L6:M6"/>
  </mergeCells>
  <pageMargins left="0.70866141732283505" right="0.70866141732283505" top="0.74803149606299202" bottom="0.74803149606299202" header="0.31496062992126" footer="0.31496062992126"/>
  <pageSetup paperSize="9" scale="38" fitToHeight="0" orientation="landscape" r:id="rId1"/>
  <ignoredErrors>
    <ignoredError sqref="AF116:AG116 AF161:AG161" formula="1"/>
  </ignoredErrors>
</worksheet>
</file>

<file path=xl/worksheets/sheet5.xml><?xml version="1.0" encoding="utf-8"?>
<worksheet xmlns="http://schemas.openxmlformats.org/spreadsheetml/2006/main" xmlns:r="http://schemas.openxmlformats.org/officeDocument/2006/relationships">
  <sheetPr>
    <tabColor rgb="FF00B0F0"/>
    <pageSetUpPr fitToPage="1"/>
  </sheetPr>
  <dimension ref="A1:Z287"/>
  <sheetViews>
    <sheetView showZeros="0" tabSelected="1" view="pageBreakPreview" topLeftCell="A271" zoomScale="70" zoomScaleNormal="70" zoomScaleSheetLayoutView="70" workbookViewId="0">
      <selection activeCell="L276" sqref="L276"/>
    </sheetView>
  </sheetViews>
  <sheetFormatPr defaultRowHeight="14.25"/>
  <cols>
    <col min="1" max="1" width="8" style="449" customWidth="1"/>
    <col min="2" max="2" width="35.86328125" style="449" customWidth="1"/>
    <col min="3" max="3" width="15.73046875" style="449" customWidth="1"/>
    <col min="4" max="4" width="14.59765625" style="449" customWidth="1"/>
    <col min="5" max="5" width="16.3984375" style="449" customWidth="1"/>
    <col min="6" max="6" width="12.59765625" style="449" customWidth="1"/>
    <col min="7" max="7" width="11.59765625" style="449" customWidth="1"/>
    <col min="8" max="8" width="15.1328125" style="449" customWidth="1"/>
    <col min="9" max="9" width="13.265625" style="449" customWidth="1"/>
    <col min="10" max="10" width="13.1328125" style="449" customWidth="1"/>
    <col min="11" max="12" width="12.3984375" style="449" customWidth="1"/>
    <col min="13" max="13" width="15.73046875" style="449" customWidth="1"/>
    <col min="14" max="14" width="16.86328125" style="449" customWidth="1"/>
    <col min="15" max="15" width="12.1328125" style="449" customWidth="1"/>
    <col min="16" max="16" width="15" style="449" customWidth="1"/>
    <col min="17" max="17" width="15.3984375" style="449" customWidth="1"/>
    <col min="18" max="18" width="13.86328125" style="449" bestFit="1" customWidth="1"/>
    <col min="19" max="19" width="15.1328125" style="449" bestFit="1" customWidth="1"/>
    <col min="20" max="21" width="9" style="449"/>
    <col min="22" max="22" width="10.73046875" style="449" customWidth="1"/>
    <col min="23" max="250" width="9" style="449"/>
    <col min="251" max="251" width="8" style="449" customWidth="1"/>
    <col min="252" max="252" width="35.86328125" style="449" customWidth="1"/>
    <col min="253" max="253" width="18" style="449" customWidth="1"/>
    <col min="254" max="255" width="11.59765625" style="449" customWidth="1"/>
    <col min="256" max="260" width="0" style="449" hidden="1" customWidth="1"/>
    <col min="261" max="267" width="9" style="449"/>
    <col min="268" max="268" width="16.265625" style="449" customWidth="1"/>
    <col min="269" max="271" width="12.1328125" style="449" customWidth="1"/>
    <col min="272" max="272" width="15" style="449" customWidth="1"/>
    <col min="273" max="277" width="9" style="449"/>
    <col min="278" max="278" width="10.73046875" style="449" customWidth="1"/>
    <col min="279" max="506" width="9" style="449"/>
    <col min="507" max="507" width="8" style="449" customWidth="1"/>
    <col min="508" max="508" width="35.86328125" style="449" customWidth="1"/>
    <col min="509" max="509" width="18" style="449" customWidth="1"/>
    <col min="510" max="511" width="11.59765625" style="449" customWidth="1"/>
    <col min="512" max="516" width="0" style="449" hidden="1" customWidth="1"/>
    <col min="517" max="523" width="9" style="449"/>
    <col min="524" max="524" width="16.265625" style="449" customWidth="1"/>
    <col min="525" max="527" width="12.1328125" style="449" customWidth="1"/>
    <col min="528" max="528" width="15" style="449" customWidth="1"/>
    <col min="529" max="533" width="9" style="449"/>
    <col min="534" max="534" width="10.73046875" style="449" customWidth="1"/>
    <col min="535" max="762" width="9" style="449"/>
    <col min="763" max="763" width="8" style="449" customWidth="1"/>
    <col min="764" max="764" width="35.86328125" style="449" customWidth="1"/>
    <col min="765" max="765" width="18" style="449" customWidth="1"/>
    <col min="766" max="767" width="11.59765625" style="449" customWidth="1"/>
    <col min="768" max="772" width="0" style="449" hidden="1" customWidth="1"/>
    <col min="773" max="779" width="9" style="449"/>
    <col min="780" max="780" width="16.265625" style="449" customWidth="1"/>
    <col min="781" max="783" width="12.1328125" style="449" customWidth="1"/>
    <col min="784" max="784" width="15" style="449" customWidth="1"/>
    <col min="785" max="789" width="9" style="449"/>
    <col min="790" max="790" width="10.73046875" style="449" customWidth="1"/>
    <col min="791" max="1018" width="9" style="449"/>
    <col min="1019" max="1019" width="8" style="449" customWidth="1"/>
    <col min="1020" max="1020" width="35.86328125" style="449" customWidth="1"/>
    <col min="1021" max="1021" width="18" style="449" customWidth="1"/>
    <col min="1022" max="1023" width="11.59765625" style="449" customWidth="1"/>
    <col min="1024" max="1028" width="0" style="449" hidden="1" customWidth="1"/>
    <col min="1029" max="1035" width="9" style="449"/>
    <col min="1036" max="1036" width="16.265625" style="449" customWidth="1"/>
    <col min="1037" max="1039" width="12.1328125" style="449" customWidth="1"/>
    <col min="1040" max="1040" width="15" style="449" customWidth="1"/>
    <col min="1041" max="1045" width="9" style="449"/>
    <col min="1046" max="1046" width="10.73046875" style="449" customWidth="1"/>
    <col min="1047" max="1274" width="9" style="449"/>
    <col min="1275" max="1275" width="8" style="449" customWidth="1"/>
    <col min="1276" max="1276" width="35.86328125" style="449" customWidth="1"/>
    <col min="1277" max="1277" width="18" style="449" customWidth="1"/>
    <col min="1278" max="1279" width="11.59765625" style="449" customWidth="1"/>
    <col min="1280" max="1284" width="0" style="449" hidden="1" customWidth="1"/>
    <col min="1285" max="1291" width="9" style="449"/>
    <col min="1292" max="1292" width="16.265625" style="449" customWidth="1"/>
    <col min="1293" max="1295" width="12.1328125" style="449" customWidth="1"/>
    <col min="1296" max="1296" width="15" style="449" customWidth="1"/>
    <col min="1297" max="1301" width="9" style="449"/>
    <col min="1302" max="1302" width="10.73046875" style="449" customWidth="1"/>
    <col min="1303" max="1530" width="9" style="449"/>
    <col min="1531" max="1531" width="8" style="449" customWidth="1"/>
    <col min="1532" max="1532" width="35.86328125" style="449" customWidth="1"/>
    <col min="1533" max="1533" width="18" style="449" customWidth="1"/>
    <col min="1534" max="1535" width="11.59765625" style="449" customWidth="1"/>
    <col min="1536" max="1540" width="0" style="449" hidden="1" customWidth="1"/>
    <col min="1541" max="1547" width="9" style="449"/>
    <col min="1548" max="1548" width="16.265625" style="449" customWidth="1"/>
    <col min="1549" max="1551" width="12.1328125" style="449" customWidth="1"/>
    <col min="1552" max="1552" width="15" style="449" customWidth="1"/>
    <col min="1553" max="1557" width="9" style="449"/>
    <col min="1558" max="1558" width="10.73046875" style="449" customWidth="1"/>
    <col min="1559" max="1786" width="9" style="449"/>
    <col min="1787" max="1787" width="8" style="449" customWidth="1"/>
    <col min="1788" max="1788" width="35.86328125" style="449" customWidth="1"/>
    <col min="1789" max="1789" width="18" style="449" customWidth="1"/>
    <col min="1790" max="1791" width="11.59765625" style="449" customWidth="1"/>
    <col min="1792" max="1796" width="0" style="449" hidden="1" customWidth="1"/>
    <col min="1797" max="1803" width="9" style="449"/>
    <col min="1804" max="1804" width="16.265625" style="449" customWidth="1"/>
    <col min="1805" max="1807" width="12.1328125" style="449" customWidth="1"/>
    <col min="1808" max="1808" width="15" style="449" customWidth="1"/>
    <col min="1809" max="1813" width="9" style="449"/>
    <col min="1814" max="1814" width="10.73046875" style="449" customWidth="1"/>
    <col min="1815" max="2042" width="9" style="449"/>
    <col min="2043" max="2043" width="8" style="449" customWidth="1"/>
    <col min="2044" max="2044" width="35.86328125" style="449" customWidth="1"/>
    <col min="2045" max="2045" width="18" style="449" customWidth="1"/>
    <col min="2046" max="2047" width="11.59765625" style="449" customWidth="1"/>
    <col min="2048" max="2052" width="0" style="449" hidden="1" customWidth="1"/>
    <col min="2053" max="2059" width="9" style="449"/>
    <col min="2060" max="2060" width="16.265625" style="449" customWidth="1"/>
    <col min="2061" max="2063" width="12.1328125" style="449" customWidth="1"/>
    <col min="2064" max="2064" width="15" style="449" customWidth="1"/>
    <col min="2065" max="2069" width="9" style="449"/>
    <col min="2070" max="2070" width="10.73046875" style="449" customWidth="1"/>
    <col min="2071" max="2298" width="9" style="449"/>
    <col min="2299" max="2299" width="8" style="449" customWidth="1"/>
    <col min="2300" max="2300" width="35.86328125" style="449" customWidth="1"/>
    <col min="2301" max="2301" width="18" style="449" customWidth="1"/>
    <col min="2302" max="2303" width="11.59765625" style="449" customWidth="1"/>
    <col min="2304" max="2308" width="0" style="449" hidden="1" customWidth="1"/>
    <col min="2309" max="2315" width="9" style="449"/>
    <col min="2316" max="2316" width="16.265625" style="449" customWidth="1"/>
    <col min="2317" max="2319" width="12.1328125" style="449" customWidth="1"/>
    <col min="2320" max="2320" width="15" style="449" customWidth="1"/>
    <col min="2321" max="2325" width="9" style="449"/>
    <col min="2326" max="2326" width="10.73046875" style="449" customWidth="1"/>
    <col min="2327" max="2554" width="9" style="449"/>
    <col min="2555" max="2555" width="8" style="449" customWidth="1"/>
    <col min="2556" max="2556" width="35.86328125" style="449" customWidth="1"/>
    <col min="2557" max="2557" width="18" style="449" customWidth="1"/>
    <col min="2558" max="2559" width="11.59765625" style="449" customWidth="1"/>
    <col min="2560" max="2564" width="0" style="449" hidden="1" customWidth="1"/>
    <col min="2565" max="2571" width="9" style="449"/>
    <col min="2572" max="2572" width="16.265625" style="449" customWidth="1"/>
    <col min="2573" max="2575" width="12.1328125" style="449" customWidth="1"/>
    <col min="2576" max="2576" width="15" style="449" customWidth="1"/>
    <col min="2577" max="2581" width="9" style="449"/>
    <col min="2582" max="2582" width="10.73046875" style="449" customWidth="1"/>
    <col min="2583" max="2810" width="9" style="449"/>
    <col min="2811" max="2811" width="8" style="449" customWidth="1"/>
    <col min="2812" max="2812" width="35.86328125" style="449" customWidth="1"/>
    <col min="2813" max="2813" width="18" style="449" customWidth="1"/>
    <col min="2814" max="2815" width="11.59765625" style="449" customWidth="1"/>
    <col min="2816" max="2820" width="0" style="449" hidden="1" customWidth="1"/>
    <col min="2821" max="2827" width="9" style="449"/>
    <col min="2828" max="2828" width="16.265625" style="449" customWidth="1"/>
    <col min="2829" max="2831" width="12.1328125" style="449" customWidth="1"/>
    <col min="2832" max="2832" width="15" style="449" customWidth="1"/>
    <col min="2833" max="2837" width="9" style="449"/>
    <col min="2838" max="2838" width="10.73046875" style="449" customWidth="1"/>
    <col min="2839" max="3066" width="9" style="449"/>
    <col min="3067" max="3067" width="8" style="449" customWidth="1"/>
    <col min="3068" max="3068" width="35.86328125" style="449" customWidth="1"/>
    <col min="3069" max="3069" width="18" style="449" customWidth="1"/>
    <col min="3070" max="3071" width="11.59765625" style="449" customWidth="1"/>
    <col min="3072" max="3076" width="0" style="449" hidden="1" customWidth="1"/>
    <col min="3077" max="3083" width="9" style="449"/>
    <col min="3084" max="3084" width="16.265625" style="449" customWidth="1"/>
    <col min="3085" max="3087" width="12.1328125" style="449" customWidth="1"/>
    <col min="3088" max="3088" width="15" style="449" customWidth="1"/>
    <col min="3089" max="3093" width="9" style="449"/>
    <col min="3094" max="3094" width="10.73046875" style="449" customWidth="1"/>
    <col min="3095" max="3322" width="9" style="449"/>
    <col min="3323" max="3323" width="8" style="449" customWidth="1"/>
    <col min="3324" max="3324" width="35.86328125" style="449" customWidth="1"/>
    <col min="3325" max="3325" width="18" style="449" customWidth="1"/>
    <col min="3326" max="3327" width="11.59765625" style="449" customWidth="1"/>
    <col min="3328" max="3332" width="0" style="449" hidden="1" customWidth="1"/>
    <col min="3333" max="3339" width="9" style="449"/>
    <col min="3340" max="3340" width="16.265625" style="449" customWidth="1"/>
    <col min="3341" max="3343" width="12.1328125" style="449" customWidth="1"/>
    <col min="3344" max="3344" width="15" style="449" customWidth="1"/>
    <col min="3345" max="3349" width="9" style="449"/>
    <col min="3350" max="3350" width="10.73046875" style="449" customWidth="1"/>
    <col min="3351" max="3578" width="9" style="449"/>
    <col min="3579" max="3579" width="8" style="449" customWidth="1"/>
    <col min="3580" max="3580" width="35.86328125" style="449" customWidth="1"/>
    <col min="3581" max="3581" width="18" style="449" customWidth="1"/>
    <col min="3582" max="3583" width="11.59765625" style="449" customWidth="1"/>
    <col min="3584" max="3588" width="0" style="449" hidden="1" customWidth="1"/>
    <col min="3589" max="3595" width="9" style="449"/>
    <col min="3596" max="3596" width="16.265625" style="449" customWidth="1"/>
    <col min="3597" max="3599" width="12.1328125" style="449" customWidth="1"/>
    <col min="3600" max="3600" width="15" style="449" customWidth="1"/>
    <col min="3601" max="3605" width="9" style="449"/>
    <col min="3606" max="3606" width="10.73046875" style="449" customWidth="1"/>
    <col min="3607" max="3834" width="9" style="449"/>
    <col min="3835" max="3835" width="8" style="449" customWidth="1"/>
    <col min="3836" max="3836" width="35.86328125" style="449" customWidth="1"/>
    <col min="3837" max="3837" width="18" style="449" customWidth="1"/>
    <col min="3838" max="3839" width="11.59765625" style="449" customWidth="1"/>
    <col min="3840" max="3844" width="0" style="449" hidden="1" customWidth="1"/>
    <col min="3845" max="3851" width="9" style="449"/>
    <col min="3852" max="3852" width="16.265625" style="449" customWidth="1"/>
    <col min="3853" max="3855" width="12.1328125" style="449" customWidth="1"/>
    <col min="3856" max="3856" width="15" style="449" customWidth="1"/>
    <col min="3857" max="3861" width="9" style="449"/>
    <col min="3862" max="3862" width="10.73046875" style="449" customWidth="1"/>
    <col min="3863" max="4090" width="9" style="449"/>
    <col min="4091" max="4091" width="8" style="449" customWidth="1"/>
    <col min="4092" max="4092" width="35.86328125" style="449" customWidth="1"/>
    <col min="4093" max="4093" width="18" style="449" customWidth="1"/>
    <col min="4094" max="4095" width="11.59765625" style="449" customWidth="1"/>
    <col min="4096" max="4100" width="0" style="449" hidden="1" customWidth="1"/>
    <col min="4101" max="4107" width="9" style="449"/>
    <col min="4108" max="4108" width="16.265625" style="449" customWidth="1"/>
    <col min="4109" max="4111" width="12.1328125" style="449" customWidth="1"/>
    <col min="4112" max="4112" width="15" style="449" customWidth="1"/>
    <col min="4113" max="4117" width="9" style="449"/>
    <col min="4118" max="4118" width="10.73046875" style="449" customWidth="1"/>
    <col min="4119" max="4346" width="9" style="449"/>
    <col min="4347" max="4347" width="8" style="449" customWidth="1"/>
    <col min="4348" max="4348" width="35.86328125" style="449" customWidth="1"/>
    <col min="4349" max="4349" width="18" style="449" customWidth="1"/>
    <col min="4350" max="4351" width="11.59765625" style="449" customWidth="1"/>
    <col min="4352" max="4356" width="0" style="449" hidden="1" customWidth="1"/>
    <col min="4357" max="4363" width="9" style="449"/>
    <col min="4364" max="4364" width="16.265625" style="449" customWidth="1"/>
    <col min="4365" max="4367" width="12.1328125" style="449" customWidth="1"/>
    <col min="4368" max="4368" width="15" style="449" customWidth="1"/>
    <col min="4369" max="4373" width="9" style="449"/>
    <col min="4374" max="4374" width="10.73046875" style="449" customWidth="1"/>
    <col min="4375" max="4602" width="9" style="449"/>
    <col min="4603" max="4603" width="8" style="449" customWidth="1"/>
    <col min="4604" max="4604" width="35.86328125" style="449" customWidth="1"/>
    <col min="4605" max="4605" width="18" style="449" customWidth="1"/>
    <col min="4606" max="4607" width="11.59765625" style="449" customWidth="1"/>
    <col min="4608" max="4612" width="0" style="449" hidden="1" customWidth="1"/>
    <col min="4613" max="4619" width="9" style="449"/>
    <col min="4620" max="4620" width="16.265625" style="449" customWidth="1"/>
    <col min="4621" max="4623" width="12.1328125" style="449" customWidth="1"/>
    <col min="4624" max="4624" width="15" style="449" customWidth="1"/>
    <col min="4625" max="4629" width="9" style="449"/>
    <col min="4630" max="4630" width="10.73046875" style="449" customWidth="1"/>
    <col min="4631" max="4858" width="9" style="449"/>
    <col min="4859" max="4859" width="8" style="449" customWidth="1"/>
    <col min="4860" max="4860" width="35.86328125" style="449" customWidth="1"/>
    <col min="4861" max="4861" width="18" style="449" customWidth="1"/>
    <col min="4862" max="4863" width="11.59765625" style="449" customWidth="1"/>
    <col min="4864" max="4868" width="0" style="449" hidden="1" customWidth="1"/>
    <col min="4869" max="4875" width="9" style="449"/>
    <col min="4876" max="4876" width="16.265625" style="449" customWidth="1"/>
    <col min="4877" max="4879" width="12.1328125" style="449" customWidth="1"/>
    <col min="4880" max="4880" width="15" style="449" customWidth="1"/>
    <col min="4881" max="4885" width="9" style="449"/>
    <col min="4886" max="4886" width="10.73046875" style="449" customWidth="1"/>
    <col min="4887" max="5114" width="9" style="449"/>
    <col min="5115" max="5115" width="8" style="449" customWidth="1"/>
    <col min="5116" max="5116" width="35.86328125" style="449" customWidth="1"/>
    <col min="5117" max="5117" width="18" style="449" customWidth="1"/>
    <col min="5118" max="5119" width="11.59765625" style="449" customWidth="1"/>
    <col min="5120" max="5124" width="0" style="449" hidden="1" customWidth="1"/>
    <col min="5125" max="5131" width="9" style="449"/>
    <col min="5132" max="5132" width="16.265625" style="449" customWidth="1"/>
    <col min="5133" max="5135" width="12.1328125" style="449" customWidth="1"/>
    <col min="5136" max="5136" width="15" style="449" customWidth="1"/>
    <col min="5137" max="5141" width="9" style="449"/>
    <col min="5142" max="5142" width="10.73046875" style="449" customWidth="1"/>
    <col min="5143" max="5370" width="9" style="449"/>
    <col min="5371" max="5371" width="8" style="449" customWidth="1"/>
    <col min="5372" max="5372" width="35.86328125" style="449" customWidth="1"/>
    <col min="5373" max="5373" width="18" style="449" customWidth="1"/>
    <col min="5374" max="5375" width="11.59765625" style="449" customWidth="1"/>
    <col min="5376" max="5380" width="0" style="449" hidden="1" customWidth="1"/>
    <col min="5381" max="5387" width="9" style="449"/>
    <col min="5388" max="5388" width="16.265625" style="449" customWidth="1"/>
    <col min="5389" max="5391" width="12.1328125" style="449" customWidth="1"/>
    <col min="5392" max="5392" width="15" style="449" customWidth="1"/>
    <col min="5393" max="5397" width="9" style="449"/>
    <col min="5398" max="5398" width="10.73046875" style="449" customWidth="1"/>
    <col min="5399" max="5626" width="9" style="449"/>
    <col min="5627" max="5627" width="8" style="449" customWidth="1"/>
    <col min="5628" max="5628" width="35.86328125" style="449" customWidth="1"/>
    <col min="5629" max="5629" width="18" style="449" customWidth="1"/>
    <col min="5630" max="5631" width="11.59765625" style="449" customWidth="1"/>
    <col min="5632" max="5636" width="0" style="449" hidden="1" customWidth="1"/>
    <col min="5637" max="5643" width="9" style="449"/>
    <col min="5644" max="5644" width="16.265625" style="449" customWidth="1"/>
    <col min="5645" max="5647" width="12.1328125" style="449" customWidth="1"/>
    <col min="5648" max="5648" width="15" style="449" customWidth="1"/>
    <col min="5649" max="5653" width="9" style="449"/>
    <col min="5654" max="5654" width="10.73046875" style="449" customWidth="1"/>
    <col min="5655" max="5882" width="9" style="449"/>
    <col min="5883" max="5883" width="8" style="449" customWidth="1"/>
    <col min="5884" max="5884" width="35.86328125" style="449" customWidth="1"/>
    <col min="5885" max="5885" width="18" style="449" customWidth="1"/>
    <col min="5886" max="5887" width="11.59765625" style="449" customWidth="1"/>
    <col min="5888" max="5892" width="0" style="449" hidden="1" customWidth="1"/>
    <col min="5893" max="5899" width="9" style="449"/>
    <col min="5900" max="5900" width="16.265625" style="449" customWidth="1"/>
    <col min="5901" max="5903" width="12.1328125" style="449" customWidth="1"/>
    <col min="5904" max="5904" width="15" style="449" customWidth="1"/>
    <col min="5905" max="5909" width="9" style="449"/>
    <col min="5910" max="5910" width="10.73046875" style="449" customWidth="1"/>
    <col min="5911" max="6138" width="9" style="449"/>
    <col min="6139" max="6139" width="8" style="449" customWidth="1"/>
    <col min="6140" max="6140" width="35.86328125" style="449" customWidth="1"/>
    <col min="6141" max="6141" width="18" style="449" customWidth="1"/>
    <col min="6142" max="6143" width="11.59765625" style="449" customWidth="1"/>
    <col min="6144" max="6148" width="0" style="449" hidden="1" customWidth="1"/>
    <col min="6149" max="6155" width="9" style="449"/>
    <col min="6156" max="6156" width="16.265625" style="449" customWidth="1"/>
    <col min="6157" max="6159" width="12.1328125" style="449" customWidth="1"/>
    <col min="6160" max="6160" width="15" style="449" customWidth="1"/>
    <col min="6161" max="6165" width="9" style="449"/>
    <col min="6166" max="6166" width="10.73046875" style="449" customWidth="1"/>
    <col min="6167" max="6394" width="9" style="449"/>
    <col min="6395" max="6395" width="8" style="449" customWidth="1"/>
    <col min="6396" max="6396" width="35.86328125" style="449" customWidth="1"/>
    <col min="6397" max="6397" width="18" style="449" customWidth="1"/>
    <col min="6398" max="6399" width="11.59765625" style="449" customWidth="1"/>
    <col min="6400" max="6404" width="0" style="449" hidden="1" customWidth="1"/>
    <col min="6405" max="6411" width="9" style="449"/>
    <col min="6412" max="6412" width="16.265625" style="449" customWidth="1"/>
    <col min="6413" max="6415" width="12.1328125" style="449" customWidth="1"/>
    <col min="6416" max="6416" width="15" style="449" customWidth="1"/>
    <col min="6417" max="6421" width="9" style="449"/>
    <col min="6422" max="6422" width="10.73046875" style="449" customWidth="1"/>
    <col min="6423" max="6650" width="9" style="449"/>
    <col min="6651" max="6651" width="8" style="449" customWidth="1"/>
    <col min="6652" max="6652" width="35.86328125" style="449" customWidth="1"/>
    <col min="6653" max="6653" width="18" style="449" customWidth="1"/>
    <col min="6654" max="6655" width="11.59765625" style="449" customWidth="1"/>
    <col min="6656" max="6660" width="0" style="449" hidden="1" customWidth="1"/>
    <col min="6661" max="6667" width="9" style="449"/>
    <col min="6668" max="6668" width="16.265625" style="449" customWidth="1"/>
    <col min="6669" max="6671" width="12.1328125" style="449" customWidth="1"/>
    <col min="6672" max="6672" width="15" style="449" customWidth="1"/>
    <col min="6673" max="6677" width="9" style="449"/>
    <col min="6678" max="6678" width="10.73046875" style="449" customWidth="1"/>
    <col min="6679" max="6906" width="9" style="449"/>
    <col min="6907" max="6907" width="8" style="449" customWidth="1"/>
    <col min="6908" max="6908" width="35.86328125" style="449" customWidth="1"/>
    <col min="6909" max="6909" width="18" style="449" customWidth="1"/>
    <col min="6910" max="6911" width="11.59765625" style="449" customWidth="1"/>
    <col min="6912" max="6916" width="0" style="449" hidden="1" customWidth="1"/>
    <col min="6917" max="6923" width="9" style="449"/>
    <col min="6924" max="6924" width="16.265625" style="449" customWidth="1"/>
    <col min="6925" max="6927" width="12.1328125" style="449" customWidth="1"/>
    <col min="6928" max="6928" width="15" style="449" customWidth="1"/>
    <col min="6929" max="6933" width="9" style="449"/>
    <col min="6934" max="6934" width="10.73046875" style="449" customWidth="1"/>
    <col min="6935" max="7162" width="9" style="449"/>
    <col min="7163" max="7163" width="8" style="449" customWidth="1"/>
    <col min="7164" max="7164" width="35.86328125" style="449" customWidth="1"/>
    <col min="7165" max="7165" width="18" style="449" customWidth="1"/>
    <col min="7166" max="7167" width="11.59765625" style="449" customWidth="1"/>
    <col min="7168" max="7172" width="0" style="449" hidden="1" customWidth="1"/>
    <col min="7173" max="7179" width="9" style="449"/>
    <col min="7180" max="7180" width="16.265625" style="449" customWidth="1"/>
    <col min="7181" max="7183" width="12.1328125" style="449" customWidth="1"/>
    <col min="7184" max="7184" width="15" style="449" customWidth="1"/>
    <col min="7185" max="7189" width="9" style="449"/>
    <col min="7190" max="7190" width="10.73046875" style="449" customWidth="1"/>
    <col min="7191" max="7418" width="9" style="449"/>
    <col min="7419" max="7419" width="8" style="449" customWidth="1"/>
    <col min="7420" max="7420" width="35.86328125" style="449" customWidth="1"/>
    <col min="7421" max="7421" width="18" style="449" customWidth="1"/>
    <col min="7422" max="7423" width="11.59765625" style="449" customWidth="1"/>
    <col min="7424" max="7428" width="0" style="449" hidden="1" customWidth="1"/>
    <col min="7429" max="7435" width="9" style="449"/>
    <col min="7436" max="7436" width="16.265625" style="449" customWidth="1"/>
    <col min="7437" max="7439" width="12.1328125" style="449" customWidth="1"/>
    <col min="7440" max="7440" width="15" style="449" customWidth="1"/>
    <col min="7441" max="7445" width="9" style="449"/>
    <col min="7446" max="7446" width="10.73046875" style="449" customWidth="1"/>
    <col min="7447" max="7674" width="9" style="449"/>
    <col min="7675" max="7675" width="8" style="449" customWidth="1"/>
    <col min="7676" max="7676" width="35.86328125" style="449" customWidth="1"/>
    <col min="7677" max="7677" width="18" style="449" customWidth="1"/>
    <col min="7678" max="7679" width="11.59765625" style="449" customWidth="1"/>
    <col min="7680" max="7684" width="0" style="449" hidden="1" customWidth="1"/>
    <col min="7685" max="7691" width="9" style="449"/>
    <col min="7692" max="7692" width="16.265625" style="449" customWidth="1"/>
    <col min="7693" max="7695" width="12.1328125" style="449" customWidth="1"/>
    <col min="7696" max="7696" width="15" style="449" customWidth="1"/>
    <col min="7697" max="7701" width="9" style="449"/>
    <col min="7702" max="7702" width="10.73046875" style="449" customWidth="1"/>
    <col min="7703" max="7930" width="9" style="449"/>
    <col min="7931" max="7931" width="8" style="449" customWidth="1"/>
    <col min="7932" max="7932" width="35.86328125" style="449" customWidth="1"/>
    <col min="7933" max="7933" width="18" style="449" customWidth="1"/>
    <col min="7934" max="7935" width="11.59765625" style="449" customWidth="1"/>
    <col min="7936" max="7940" width="0" style="449" hidden="1" customWidth="1"/>
    <col min="7941" max="7947" width="9" style="449"/>
    <col min="7948" max="7948" width="16.265625" style="449" customWidth="1"/>
    <col min="7949" max="7951" width="12.1328125" style="449" customWidth="1"/>
    <col min="7952" max="7952" width="15" style="449" customWidth="1"/>
    <col min="7953" max="7957" width="9" style="449"/>
    <col min="7958" max="7958" width="10.73046875" style="449" customWidth="1"/>
    <col min="7959" max="8186" width="9" style="449"/>
    <col min="8187" max="8187" width="8" style="449" customWidth="1"/>
    <col min="8188" max="8188" width="35.86328125" style="449" customWidth="1"/>
    <col min="8189" max="8189" width="18" style="449" customWidth="1"/>
    <col min="8190" max="8191" width="11.59765625" style="449" customWidth="1"/>
    <col min="8192" max="8196" width="0" style="449" hidden="1" customWidth="1"/>
    <col min="8197" max="8203" width="9" style="449"/>
    <col min="8204" max="8204" width="16.265625" style="449" customWidth="1"/>
    <col min="8205" max="8207" width="12.1328125" style="449" customWidth="1"/>
    <col min="8208" max="8208" width="15" style="449" customWidth="1"/>
    <col min="8209" max="8213" width="9" style="449"/>
    <col min="8214" max="8214" width="10.73046875" style="449" customWidth="1"/>
    <col min="8215" max="8442" width="9" style="449"/>
    <col min="8443" max="8443" width="8" style="449" customWidth="1"/>
    <col min="8444" max="8444" width="35.86328125" style="449" customWidth="1"/>
    <col min="8445" max="8445" width="18" style="449" customWidth="1"/>
    <col min="8446" max="8447" width="11.59765625" style="449" customWidth="1"/>
    <col min="8448" max="8452" width="0" style="449" hidden="1" customWidth="1"/>
    <col min="8453" max="8459" width="9" style="449"/>
    <col min="8460" max="8460" width="16.265625" style="449" customWidth="1"/>
    <col min="8461" max="8463" width="12.1328125" style="449" customWidth="1"/>
    <col min="8464" max="8464" width="15" style="449" customWidth="1"/>
    <col min="8465" max="8469" width="9" style="449"/>
    <col min="8470" max="8470" width="10.73046875" style="449" customWidth="1"/>
    <col min="8471" max="8698" width="9" style="449"/>
    <col min="8699" max="8699" width="8" style="449" customWidth="1"/>
    <col min="8700" max="8700" width="35.86328125" style="449" customWidth="1"/>
    <col min="8701" max="8701" width="18" style="449" customWidth="1"/>
    <col min="8702" max="8703" width="11.59765625" style="449" customWidth="1"/>
    <col min="8704" max="8708" width="0" style="449" hidden="1" customWidth="1"/>
    <col min="8709" max="8715" width="9" style="449"/>
    <col min="8716" max="8716" width="16.265625" style="449" customWidth="1"/>
    <col min="8717" max="8719" width="12.1328125" style="449" customWidth="1"/>
    <col min="8720" max="8720" width="15" style="449" customWidth="1"/>
    <col min="8721" max="8725" width="9" style="449"/>
    <col min="8726" max="8726" width="10.73046875" style="449" customWidth="1"/>
    <col min="8727" max="8954" width="9" style="449"/>
    <col min="8955" max="8955" width="8" style="449" customWidth="1"/>
    <col min="8956" max="8956" width="35.86328125" style="449" customWidth="1"/>
    <col min="8957" max="8957" width="18" style="449" customWidth="1"/>
    <col min="8958" max="8959" width="11.59765625" style="449" customWidth="1"/>
    <col min="8960" max="8964" width="0" style="449" hidden="1" customWidth="1"/>
    <col min="8965" max="8971" width="9" style="449"/>
    <col min="8972" max="8972" width="16.265625" style="449" customWidth="1"/>
    <col min="8973" max="8975" width="12.1328125" style="449" customWidth="1"/>
    <col min="8976" max="8976" width="15" style="449" customWidth="1"/>
    <col min="8977" max="8981" width="9" style="449"/>
    <col min="8982" max="8982" width="10.73046875" style="449" customWidth="1"/>
    <col min="8983" max="9210" width="9" style="449"/>
    <col min="9211" max="9211" width="8" style="449" customWidth="1"/>
    <col min="9212" max="9212" width="35.86328125" style="449" customWidth="1"/>
    <col min="9213" max="9213" width="18" style="449" customWidth="1"/>
    <col min="9214" max="9215" width="11.59765625" style="449" customWidth="1"/>
    <col min="9216" max="9220" width="0" style="449" hidden="1" customWidth="1"/>
    <col min="9221" max="9227" width="9" style="449"/>
    <col min="9228" max="9228" width="16.265625" style="449" customWidth="1"/>
    <col min="9229" max="9231" width="12.1328125" style="449" customWidth="1"/>
    <col min="9232" max="9232" width="15" style="449" customWidth="1"/>
    <col min="9233" max="9237" width="9" style="449"/>
    <col min="9238" max="9238" width="10.73046875" style="449" customWidth="1"/>
    <col min="9239" max="9466" width="9" style="449"/>
    <col min="9467" max="9467" width="8" style="449" customWidth="1"/>
    <col min="9468" max="9468" width="35.86328125" style="449" customWidth="1"/>
    <col min="9469" max="9469" width="18" style="449" customWidth="1"/>
    <col min="9470" max="9471" width="11.59765625" style="449" customWidth="1"/>
    <col min="9472" max="9476" width="0" style="449" hidden="1" customWidth="1"/>
    <col min="9477" max="9483" width="9" style="449"/>
    <col min="9484" max="9484" width="16.265625" style="449" customWidth="1"/>
    <col min="9485" max="9487" width="12.1328125" style="449" customWidth="1"/>
    <col min="9488" max="9488" width="15" style="449" customWidth="1"/>
    <col min="9489" max="9493" width="9" style="449"/>
    <col min="9494" max="9494" width="10.73046875" style="449" customWidth="1"/>
    <col min="9495" max="9722" width="9" style="449"/>
    <col min="9723" max="9723" width="8" style="449" customWidth="1"/>
    <col min="9724" max="9724" width="35.86328125" style="449" customWidth="1"/>
    <col min="9725" max="9725" width="18" style="449" customWidth="1"/>
    <col min="9726" max="9727" width="11.59765625" style="449" customWidth="1"/>
    <col min="9728" max="9732" width="0" style="449" hidden="1" customWidth="1"/>
    <col min="9733" max="9739" width="9" style="449"/>
    <col min="9740" max="9740" width="16.265625" style="449" customWidth="1"/>
    <col min="9741" max="9743" width="12.1328125" style="449" customWidth="1"/>
    <col min="9744" max="9744" width="15" style="449" customWidth="1"/>
    <col min="9745" max="9749" width="9" style="449"/>
    <col min="9750" max="9750" width="10.73046875" style="449" customWidth="1"/>
    <col min="9751" max="9978" width="9" style="449"/>
    <col min="9979" max="9979" width="8" style="449" customWidth="1"/>
    <col min="9980" max="9980" width="35.86328125" style="449" customWidth="1"/>
    <col min="9981" max="9981" width="18" style="449" customWidth="1"/>
    <col min="9982" max="9983" width="11.59765625" style="449" customWidth="1"/>
    <col min="9984" max="9988" width="0" style="449" hidden="1" customWidth="1"/>
    <col min="9989" max="9995" width="9" style="449"/>
    <col min="9996" max="9996" width="16.265625" style="449" customWidth="1"/>
    <col min="9997" max="9999" width="12.1328125" style="449" customWidth="1"/>
    <col min="10000" max="10000" width="15" style="449" customWidth="1"/>
    <col min="10001" max="10005" width="9" style="449"/>
    <col min="10006" max="10006" width="10.73046875" style="449" customWidth="1"/>
    <col min="10007" max="10234" width="9" style="449"/>
    <col min="10235" max="10235" width="8" style="449" customWidth="1"/>
    <col min="10236" max="10236" width="35.86328125" style="449" customWidth="1"/>
    <col min="10237" max="10237" width="18" style="449" customWidth="1"/>
    <col min="10238" max="10239" width="11.59765625" style="449" customWidth="1"/>
    <col min="10240" max="10244" width="0" style="449" hidden="1" customWidth="1"/>
    <col min="10245" max="10251" width="9" style="449"/>
    <col min="10252" max="10252" width="16.265625" style="449" customWidth="1"/>
    <col min="10253" max="10255" width="12.1328125" style="449" customWidth="1"/>
    <col min="10256" max="10256" width="15" style="449" customWidth="1"/>
    <col min="10257" max="10261" width="9" style="449"/>
    <col min="10262" max="10262" width="10.73046875" style="449" customWidth="1"/>
    <col min="10263" max="10490" width="9" style="449"/>
    <col min="10491" max="10491" width="8" style="449" customWidth="1"/>
    <col min="10492" max="10492" width="35.86328125" style="449" customWidth="1"/>
    <col min="10493" max="10493" width="18" style="449" customWidth="1"/>
    <col min="10494" max="10495" width="11.59765625" style="449" customWidth="1"/>
    <col min="10496" max="10500" width="0" style="449" hidden="1" customWidth="1"/>
    <col min="10501" max="10507" width="9" style="449"/>
    <col min="10508" max="10508" width="16.265625" style="449" customWidth="1"/>
    <col min="10509" max="10511" width="12.1328125" style="449" customWidth="1"/>
    <col min="10512" max="10512" width="15" style="449" customWidth="1"/>
    <col min="10513" max="10517" width="9" style="449"/>
    <col min="10518" max="10518" width="10.73046875" style="449" customWidth="1"/>
    <col min="10519" max="10746" width="9" style="449"/>
    <col min="10747" max="10747" width="8" style="449" customWidth="1"/>
    <col min="10748" max="10748" width="35.86328125" style="449" customWidth="1"/>
    <col min="10749" max="10749" width="18" style="449" customWidth="1"/>
    <col min="10750" max="10751" width="11.59765625" style="449" customWidth="1"/>
    <col min="10752" max="10756" width="0" style="449" hidden="1" customWidth="1"/>
    <col min="10757" max="10763" width="9" style="449"/>
    <col min="10764" max="10764" width="16.265625" style="449" customWidth="1"/>
    <col min="10765" max="10767" width="12.1328125" style="449" customWidth="1"/>
    <col min="10768" max="10768" width="15" style="449" customWidth="1"/>
    <col min="10769" max="10773" width="9" style="449"/>
    <col min="10774" max="10774" width="10.73046875" style="449" customWidth="1"/>
    <col min="10775" max="11002" width="9" style="449"/>
    <col min="11003" max="11003" width="8" style="449" customWidth="1"/>
    <col min="11004" max="11004" width="35.86328125" style="449" customWidth="1"/>
    <col min="11005" max="11005" width="18" style="449" customWidth="1"/>
    <col min="11006" max="11007" width="11.59765625" style="449" customWidth="1"/>
    <col min="11008" max="11012" width="0" style="449" hidden="1" customWidth="1"/>
    <col min="11013" max="11019" width="9" style="449"/>
    <col min="11020" max="11020" width="16.265625" style="449" customWidth="1"/>
    <col min="11021" max="11023" width="12.1328125" style="449" customWidth="1"/>
    <col min="11024" max="11024" width="15" style="449" customWidth="1"/>
    <col min="11025" max="11029" width="9" style="449"/>
    <col min="11030" max="11030" width="10.73046875" style="449" customWidth="1"/>
    <col min="11031" max="11258" width="9" style="449"/>
    <col min="11259" max="11259" width="8" style="449" customWidth="1"/>
    <col min="11260" max="11260" width="35.86328125" style="449" customWidth="1"/>
    <col min="11261" max="11261" width="18" style="449" customWidth="1"/>
    <col min="11262" max="11263" width="11.59765625" style="449" customWidth="1"/>
    <col min="11264" max="11268" width="0" style="449" hidden="1" customWidth="1"/>
    <col min="11269" max="11275" width="9" style="449"/>
    <col min="11276" max="11276" width="16.265625" style="449" customWidth="1"/>
    <col min="11277" max="11279" width="12.1328125" style="449" customWidth="1"/>
    <col min="11280" max="11280" width="15" style="449" customWidth="1"/>
    <col min="11281" max="11285" width="9" style="449"/>
    <col min="11286" max="11286" width="10.73046875" style="449" customWidth="1"/>
    <col min="11287" max="11514" width="9" style="449"/>
    <col min="11515" max="11515" width="8" style="449" customWidth="1"/>
    <col min="11516" max="11516" width="35.86328125" style="449" customWidth="1"/>
    <col min="11517" max="11517" width="18" style="449" customWidth="1"/>
    <col min="11518" max="11519" width="11.59765625" style="449" customWidth="1"/>
    <col min="11520" max="11524" width="0" style="449" hidden="1" customWidth="1"/>
    <col min="11525" max="11531" width="9" style="449"/>
    <col min="11532" max="11532" width="16.265625" style="449" customWidth="1"/>
    <col min="11533" max="11535" width="12.1328125" style="449" customWidth="1"/>
    <col min="11536" max="11536" width="15" style="449" customWidth="1"/>
    <col min="11537" max="11541" width="9" style="449"/>
    <col min="11542" max="11542" width="10.73046875" style="449" customWidth="1"/>
    <col min="11543" max="11770" width="9" style="449"/>
    <col min="11771" max="11771" width="8" style="449" customWidth="1"/>
    <col min="11772" max="11772" width="35.86328125" style="449" customWidth="1"/>
    <col min="11773" max="11773" width="18" style="449" customWidth="1"/>
    <col min="11774" max="11775" width="11.59765625" style="449" customWidth="1"/>
    <col min="11776" max="11780" width="0" style="449" hidden="1" customWidth="1"/>
    <col min="11781" max="11787" width="9" style="449"/>
    <col min="11788" max="11788" width="16.265625" style="449" customWidth="1"/>
    <col min="11789" max="11791" width="12.1328125" style="449" customWidth="1"/>
    <col min="11792" max="11792" width="15" style="449" customWidth="1"/>
    <col min="11793" max="11797" width="9" style="449"/>
    <col min="11798" max="11798" width="10.73046875" style="449" customWidth="1"/>
    <col min="11799" max="12026" width="9" style="449"/>
    <col min="12027" max="12027" width="8" style="449" customWidth="1"/>
    <col min="12028" max="12028" width="35.86328125" style="449" customWidth="1"/>
    <col min="12029" max="12029" width="18" style="449" customWidth="1"/>
    <col min="12030" max="12031" width="11.59765625" style="449" customWidth="1"/>
    <col min="12032" max="12036" width="0" style="449" hidden="1" customWidth="1"/>
    <col min="12037" max="12043" width="9" style="449"/>
    <col min="12044" max="12044" width="16.265625" style="449" customWidth="1"/>
    <col min="12045" max="12047" width="12.1328125" style="449" customWidth="1"/>
    <col min="12048" max="12048" width="15" style="449" customWidth="1"/>
    <col min="12049" max="12053" width="9" style="449"/>
    <col min="12054" max="12054" width="10.73046875" style="449" customWidth="1"/>
    <col min="12055" max="12282" width="9" style="449"/>
    <col min="12283" max="12283" width="8" style="449" customWidth="1"/>
    <col min="12284" max="12284" width="35.86328125" style="449" customWidth="1"/>
    <col min="12285" max="12285" width="18" style="449" customWidth="1"/>
    <col min="12286" max="12287" width="11.59765625" style="449" customWidth="1"/>
    <col min="12288" max="12292" width="0" style="449" hidden="1" customWidth="1"/>
    <col min="12293" max="12299" width="9" style="449"/>
    <col min="12300" max="12300" width="16.265625" style="449" customWidth="1"/>
    <col min="12301" max="12303" width="12.1328125" style="449" customWidth="1"/>
    <col min="12304" max="12304" width="15" style="449" customWidth="1"/>
    <col min="12305" max="12309" width="9" style="449"/>
    <col min="12310" max="12310" width="10.73046875" style="449" customWidth="1"/>
    <col min="12311" max="12538" width="9" style="449"/>
    <col min="12539" max="12539" width="8" style="449" customWidth="1"/>
    <col min="12540" max="12540" width="35.86328125" style="449" customWidth="1"/>
    <col min="12541" max="12541" width="18" style="449" customWidth="1"/>
    <col min="12542" max="12543" width="11.59765625" style="449" customWidth="1"/>
    <col min="12544" max="12548" width="0" style="449" hidden="1" customWidth="1"/>
    <col min="12549" max="12555" width="9" style="449"/>
    <col min="12556" max="12556" width="16.265625" style="449" customWidth="1"/>
    <col min="12557" max="12559" width="12.1328125" style="449" customWidth="1"/>
    <col min="12560" max="12560" width="15" style="449" customWidth="1"/>
    <col min="12561" max="12565" width="9" style="449"/>
    <col min="12566" max="12566" width="10.73046875" style="449" customWidth="1"/>
    <col min="12567" max="12794" width="9" style="449"/>
    <col min="12795" max="12795" width="8" style="449" customWidth="1"/>
    <col min="12796" max="12796" width="35.86328125" style="449" customWidth="1"/>
    <col min="12797" max="12797" width="18" style="449" customWidth="1"/>
    <col min="12798" max="12799" width="11.59765625" style="449" customWidth="1"/>
    <col min="12800" max="12804" width="0" style="449" hidden="1" customWidth="1"/>
    <col min="12805" max="12811" width="9" style="449"/>
    <col min="12812" max="12812" width="16.265625" style="449" customWidth="1"/>
    <col min="12813" max="12815" width="12.1328125" style="449" customWidth="1"/>
    <col min="12816" max="12816" width="15" style="449" customWidth="1"/>
    <col min="12817" max="12821" width="9" style="449"/>
    <col min="12822" max="12822" width="10.73046875" style="449" customWidth="1"/>
    <col min="12823" max="13050" width="9" style="449"/>
    <col min="13051" max="13051" width="8" style="449" customWidth="1"/>
    <col min="13052" max="13052" width="35.86328125" style="449" customWidth="1"/>
    <col min="13053" max="13053" width="18" style="449" customWidth="1"/>
    <col min="13054" max="13055" width="11.59765625" style="449" customWidth="1"/>
    <col min="13056" max="13060" width="0" style="449" hidden="1" customWidth="1"/>
    <col min="13061" max="13067" width="9" style="449"/>
    <col min="13068" max="13068" width="16.265625" style="449" customWidth="1"/>
    <col min="13069" max="13071" width="12.1328125" style="449" customWidth="1"/>
    <col min="13072" max="13072" width="15" style="449" customWidth="1"/>
    <col min="13073" max="13077" width="9" style="449"/>
    <col min="13078" max="13078" width="10.73046875" style="449" customWidth="1"/>
    <col min="13079" max="13306" width="9" style="449"/>
    <col min="13307" max="13307" width="8" style="449" customWidth="1"/>
    <col min="13308" max="13308" width="35.86328125" style="449" customWidth="1"/>
    <col min="13309" max="13309" width="18" style="449" customWidth="1"/>
    <col min="13310" max="13311" width="11.59765625" style="449" customWidth="1"/>
    <col min="13312" max="13316" width="0" style="449" hidden="1" customWidth="1"/>
    <col min="13317" max="13323" width="9" style="449"/>
    <col min="13324" max="13324" width="16.265625" style="449" customWidth="1"/>
    <col min="13325" max="13327" width="12.1328125" style="449" customWidth="1"/>
    <col min="13328" max="13328" width="15" style="449" customWidth="1"/>
    <col min="13329" max="13333" width="9" style="449"/>
    <col min="13334" max="13334" width="10.73046875" style="449" customWidth="1"/>
    <col min="13335" max="13562" width="9" style="449"/>
    <col min="13563" max="13563" width="8" style="449" customWidth="1"/>
    <col min="13564" max="13564" width="35.86328125" style="449" customWidth="1"/>
    <col min="13565" max="13565" width="18" style="449" customWidth="1"/>
    <col min="13566" max="13567" width="11.59765625" style="449" customWidth="1"/>
    <col min="13568" max="13572" width="0" style="449" hidden="1" customWidth="1"/>
    <col min="13573" max="13579" width="9" style="449"/>
    <col min="13580" max="13580" width="16.265625" style="449" customWidth="1"/>
    <col min="13581" max="13583" width="12.1328125" style="449" customWidth="1"/>
    <col min="13584" max="13584" width="15" style="449" customWidth="1"/>
    <col min="13585" max="13589" width="9" style="449"/>
    <col min="13590" max="13590" width="10.73046875" style="449" customWidth="1"/>
    <col min="13591" max="13818" width="9" style="449"/>
    <col min="13819" max="13819" width="8" style="449" customWidth="1"/>
    <col min="13820" max="13820" width="35.86328125" style="449" customWidth="1"/>
    <col min="13821" max="13821" width="18" style="449" customWidth="1"/>
    <col min="13822" max="13823" width="11.59765625" style="449" customWidth="1"/>
    <col min="13824" max="13828" width="0" style="449" hidden="1" customWidth="1"/>
    <col min="13829" max="13835" width="9" style="449"/>
    <col min="13836" max="13836" width="16.265625" style="449" customWidth="1"/>
    <col min="13837" max="13839" width="12.1328125" style="449" customWidth="1"/>
    <col min="13840" max="13840" width="15" style="449" customWidth="1"/>
    <col min="13841" max="13845" width="9" style="449"/>
    <col min="13846" max="13846" width="10.73046875" style="449" customWidth="1"/>
    <col min="13847" max="14074" width="9" style="449"/>
    <col min="14075" max="14075" width="8" style="449" customWidth="1"/>
    <col min="14076" max="14076" width="35.86328125" style="449" customWidth="1"/>
    <col min="14077" max="14077" width="18" style="449" customWidth="1"/>
    <col min="14078" max="14079" width="11.59765625" style="449" customWidth="1"/>
    <col min="14080" max="14084" width="0" style="449" hidden="1" customWidth="1"/>
    <col min="14085" max="14091" width="9" style="449"/>
    <col min="14092" max="14092" width="16.265625" style="449" customWidth="1"/>
    <col min="14093" max="14095" width="12.1328125" style="449" customWidth="1"/>
    <col min="14096" max="14096" width="15" style="449" customWidth="1"/>
    <col min="14097" max="14101" width="9" style="449"/>
    <col min="14102" max="14102" width="10.73046875" style="449" customWidth="1"/>
    <col min="14103" max="14330" width="9" style="449"/>
    <col min="14331" max="14331" width="8" style="449" customWidth="1"/>
    <col min="14332" max="14332" width="35.86328125" style="449" customWidth="1"/>
    <col min="14333" max="14333" width="18" style="449" customWidth="1"/>
    <col min="14334" max="14335" width="11.59765625" style="449" customWidth="1"/>
    <col min="14336" max="14340" width="0" style="449" hidden="1" customWidth="1"/>
    <col min="14341" max="14347" width="9" style="449"/>
    <col min="14348" max="14348" width="16.265625" style="449" customWidth="1"/>
    <col min="14349" max="14351" width="12.1328125" style="449" customWidth="1"/>
    <col min="14352" max="14352" width="15" style="449" customWidth="1"/>
    <col min="14353" max="14357" width="9" style="449"/>
    <col min="14358" max="14358" width="10.73046875" style="449" customWidth="1"/>
    <col min="14359" max="14586" width="9" style="449"/>
    <col min="14587" max="14587" width="8" style="449" customWidth="1"/>
    <col min="14588" max="14588" width="35.86328125" style="449" customWidth="1"/>
    <col min="14589" max="14589" width="18" style="449" customWidth="1"/>
    <col min="14590" max="14591" width="11.59765625" style="449" customWidth="1"/>
    <col min="14592" max="14596" width="0" style="449" hidden="1" customWidth="1"/>
    <col min="14597" max="14603" width="9" style="449"/>
    <col min="14604" max="14604" width="16.265625" style="449" customWidth="1"/>
    <col min="14605" max="14607" width="12.1328125" style="449" customWidth="1"/>
    <col min="14608" max="14608" width="15" style="449" customWidth="1"/>
    <col min="14609" max="14613" width="9" style="449"/>
    <col min="14614" max="14614" width="10.73046875" style="449" customWidth="1"/>
    <col min="14615" max="14842" width="9" style="449"/>
    <col min="14843" max="14843" width="8" style="449" customWidth="1"/>
    <col min="14844" max="14844" width="35.86328125" style="449" customWidth="1"/>
    <col min="14845" max="14845" width="18" style="449" customWidth="1"/>
    <col min="14846" max="14847" width="11.59765625" style="449" customWidth="1"/>
    <col min="14848" max="14852" width="0" style="449" hidden="1" customWidth="1"/>
    <col min="14853" max="14859" width="9" style="449"/>
    <col min="14860" max="14860" width="16.265625" style="449" customWidth="1"/>
    <col min="14861" max="14863" width="12.1328125" style="449" customWidth="1"/>
    <col min="14864" max="14864" width="15" style="449" customWidth="1"/>
    <col min="14865" max="14869" width="9" style="449"/>
    <col min="14870" max="14870" width="10.73046875" style="449" customWidth="1"/>
    <col min="14871" max="15098" width="9" style="449"/>
    <col min="15099" max="15099" width="8" style="449" customWidth="1"/>
    <col min="15100" max="15100" width="35.86328125" style="449" customWidth="1"/>
    <col min="15101" max="15101" width="18" style="449" customWidth="1"/>
    <col min="15102" max="15103" width="11.59765625" style="449" customWidth="1"/>
    <col min="15104" max="15108" width="0" style="449" hidden="1" customWidth="1"/>
    <col min="15109" max="15115" width="9" style="449"/>
    <col min="15116" max="15116" width="16.265625" style="449" customWidth="1"/>
    <col min="15117" max="15119" width="12.1328125" style="449" customWidth="1"/>
    <col min="15120" max="15120" width="15" style="449" customWidth="1"/>
    <col min="15121" max="15125" width="9" style="449"/>
    <col min="15126" max="15126" width="10.73046875" style="449" customWidth="1"/>
    <col min="15127" max="15354" width="9" style="449"/>
    <col min="15355" max="15355" width="8" style="449" customWidth="1"/>
    <col min="15356" max="15356" width="35.86328125" style="449" customWidth="1"/>
    <col min="15357" max="15357" width="18" style="449" customWidth="1"/>
    <col min="15358" max="15359" width="11.59765625" style="449" customWidth="1"/>
    <col min="15360" max="15364" width="0" style="449" hidden="1" customWidth="1"/>
    <col min="15365" max="15371" width="9" style="449"/>
    <col min="15372" max="15372" width="16.265625" style="449" customWidth="1"/>
    <col min="15373" max="15375" width="12.1328125" style="449" customWidth="1"/>
    <col min="15376" max="15376" width="15" style="449" customWidth="1"/>
    <col min="15377" max="15381" width="9" style="449"/>
    <col min="15382" max="15382" width="10.73046875" style="449" customWidth="1"/>
    <col min="15383" max="15610" width="9" style="449"/>
    <col min="15611" max="15611" width="8" style="449" customWidth="1"/>
    <col min="15612" max="15612" width="35.86328125" style="449" customWidth="1"/>
    <col min="15613" max="15613" width="18" style="449" customWidth="1"/>
    <col min="15614" max="15615" width="11.59765625" style="449" customWidth="1"/>
    <col min="15616" max="15620" width="0" style="449" hidden="1" customWidth="1"/>
    <col min="15621" max="15627" width="9" style="449"/>
    <col min="15628" max="15628" width="16.265625" style="449" customWidth="1"/>
    <col min="15629" max="15631" width="12.1328125" style="449" customWidth="1"/>
    <col min="15632" max="15632" width="15" style="449" customWidth="1"/>
    <col min="15633" max="15637" width="9" style="449"/>
    <col min="15638" max="15638" width="10.73046875" style="449" customWidth="1"/>
    <col min="15639" max="15866" width="9" style="449"/>
    <col min="15867" max="15867" width="8" style="449" customWidth="1"/>
    <col min="15868" max="15868" width="35.86328125" style="449" customWidth="1"/>
    <col min="15869" max="15869" width="18" style="449" customWidth="1"/>
    <col min="15870" max="15871" width="11.59765625" style="449" customWidth="1"/>
    <col min="15872" max="15876" width="0" style="449" hidden="1" customWidth="1"/>
    <col min="15877" max="15883" width="9" style="449"/>
    <col min="15884" max="15884" width="16.265625" style="449" customWidth="1"/>
    <col min="15885" max="15887" width="12.1328125" style="449" customWidth="1"/>
    <col min="15888" max="15888" width="15" style="449" customWidth="1"/>
    <col min="15889" max="15893" width="9" style="449"/>
    <col min="15894" max="15894" width="10.73046875" style="449" customWidth="1"/>
    <col min="15895" max="16122" width="9" style="449"/>
    <col min="16123" max="16123" width="8" style="449" customWidth="1"/>
    <col min="16124" max="16124" width="35.86328125" style="449" customWidth="1"/>
    <col min="16125" max="16125" width="18" style="449" customWidth="1"/>
    <col min="16126" max="16127" width="11.59765625" style="449" customWidth="1"/>
    <col min="16128" max="16132" width="0" style="449" hidden="1" customWidth="1"/>
    <col min="16133" max="16139" width="9" style="449"/>
    <col min="16140" max="16140" width="16.265625" style="449" customWidth="1"/>
    <col min="16141" max="16143" width="12.1328125" style="449" customWidth="1"/>
    <col min="16144" max="16144" width="15" style="449" customWidth="1"/>
    <col min="16145" max="16149" width="9" style="449"/>
    <col min="16150" max="16150" width="10.73046875" style="449" customWidth="1"/>
    <col min="16151" max="16378" width="9" style="449"/>
    <col min="16379" max="16384" width="9" style="449" customWidth="1"/>
  </cols>
  <sheetData>
    <row r="1" spans="1:16" s="443" customFormat="1" ht="26.25" customHeight="1">
      <c r="A1" s="722" t="s">
        <v>1966</v>
      </c>
      <c r="B1" s="722"/>
      <c r="C1" s="722"/>
      <c r="D1" s="722"/>
      <c r="E1" s="722"/>
      <c r="F1" s="722"/>
      <c r="G1" s="722"/>
      <c r="H1" s="722"/>
      <c r="I1" s="722"/>
      <c r="J1" s="722"/>
      <c r="K1" s="722"/>
      <c r="L1" s="722"/>
      <c r="M1" s="722"/>
      <c r="N1" s="722"/>
      <c r="O1" s="442"/>
    </row>
    <row r="2" spans="1:16" s="443" customFormat="1" ht="38.25" customHeight="1">
      <c r="A2" s="723" t="s">
        <v>1965</v>
      </c>
      <c r="B2" s="723"/>
      <c r="C2" s="723"/>
      <c r="D2" s="723"/>
      <c r="E2" s="723"/>
      <c r="F2" s="723"/>
      <c r="G2" s="723"/>
      <c r="H2" s="723"/>
      <c r="I2" s="723"/>
      <c r="J2" s="723"/>
      <c r="K2" s="723"/>
      <c r="L2" s="723"/>
      <c r="M2" s="723"/>
      <c r="N2" s="723"/>
      <c r="O2" s="444"/>
    </row>
    <row r="3" spans="1:16" s="446" customFormat="1" ht="15.4">
      <c r="A3" s="724" t="str">
        <f>'B4 DC NSDP 25'!A3:AL3</f>
        <v>(Kèm theo Nghị quyết số                /NQ-HĐND ngày  28/4/2025 của Hội đồng nhân dân tỉnh)</v>
      </c>
      <c r="B3" s="725"/>
      <c r="C3" s="725"/>
      <c r="D3" s="725"/>
      <c r="E3" s="725"/>
      <c r="F3" s="725"/>
      <c r="G3" s="725"/>
      <c r="H3" s="725"/>
      <c r="I3" s="725"/>
      <c r="J3" s="725"/>
      <c r="K3" s="725"/>
      <c r="L3" s="725"/>
      <c r="M3" s="725"/>
      <c r="N3" s="725"/>
      <c r="O3" s="445"/>
    </row>
    <row r="4" spans="1:16" s="443" customFormat="1" ht="15.4">
      <c r="A4" s="726" t="s">
        <v>30</v>
      </c>
      <c r="B4" s="726"/>
      <c r="C4" s="726"/>
      <c r="D4" s="726"/>
      <c r="E4" s="726"/>
      <c r="F4" s="726"/>
      <c r="G4" s="726"/>
      <c r="H4" s="726"/>
      <c r="I4" s="726"/>
      <c r="J4" s="726"/>
      <c r="K4" s="726"/>
      <c r="L4" s="726"/>
      <c r="M4" s="726"/>
      <c r="N4" s="726"/>
      <c r="O4" s="447"/>
    </row>
    <row r="6" spans="1:16" ht="52.5" customHeight="1">
      <c r="A6" s="727" t="s">
        <v>0</v>
      </c>
      <c r="B6" s="727" t="s">
        <v>1</v>
      </c>
      <c r="C6" s="727" t="s">
        <v>5</v>
      </c>
      <c r="D6" s="727"/>
      <c r="E6" s="727"/>
      <c r="F6" s="727" t="s">
        <v>1964</v>
      </c>
      <c r="G6" s="727" t="s">
        <v>1963</v>
      </c>
      <c r="H6" s="727" t="s">
        <v>1996</v>
      </c>
      <c r="I6" s="727" t="s">
        <v>1962</v>
      </c>
      <c r="J6" s="727" t="s">
        <v>1960</v>
      </c>
      <c r="K6" s="727" t="s">
        <v>1961</v>
      </c>
      <c r="L6" s="727"/>
      <c r="M6" s="727"/>
      <c r="N6" s="727" t="s">
        <v>13</v>
      </c>
      <c r="O6" s="448"/>
      <c r="P6" s="728"/>
    </row>
    <row r="7" spans="1:16" ht="35.25" customHeight="1">
      <c r="A7" s="727"/>
      <c r="B7" s="727"/>
      <c r="C7" s="727" t="s">
        <v>16</v>
      </c>
      <c r="D7" s="727" t="s">
        <v>1959</v>
      </c>
      <c r="E7" s="727"/>
      <c r="F7" s="727"/>
      <c r="G7" s="727"/>
      <c r="H7" s="727"/>
      <c r="I7" s="727"/>
      <c r="J7" s="727"/>
      <c r="K7" s="727" t="s">
        <v>1957</v>
      </c>
      <c r="L7" s="727" t="s">
        <v>1061</v>
      </c>
      <c r="M7" s="727" t="s">
        <v>1958</v>
      </c>
      <c r="N7" s="727"/>
      <c r="O7" s="448"/>
      <c r="P7" s="728"/>
    </row>
    <row r="8" spans="1:16" ht="104.25" customHeight="1">
      <c r="A8" s="727"/>
      <c r="B8" s="727"/>
      <c r="C8" s="727"/>
      <c r="D8" s="344" t="s">
        <v>1956</v>
      </c>
      <c r="E8" s="344" t="s">
        <v>1955</v>
      </c>
      <c r="F8" s="727"/>
      <c r="G8" s="727"/>
      <c r="H8" s="727"/>
      <c r="I8" s="727"/>
      <c r="J8" s="727"/>
      <c r="K8" s="727"/>
      <c r="L8" s="727"/>
      <c r="M8" s="727"/>
      <c r="N8" s="727"/>
      <c r="O8" s="448"/>
      <c r="P8" s="728"/>
    </row>
    <row r="9" spans="1:16" ht="38.25" customHeight="1">
      <c r="A9" s="347">
        <v>1</v>
      </c>
      <c r="B9" s="347">
        <v>2</v>
      </c>
      <c r="C9" s="347">
        <v>3</v>
      </c>
      <c r="D9" s="347">
        <v>4</v>
      </c>
      <c r="E9" s="347">
        <v>5</v>
      </c>
      <c r="F9" s="347">
        <v>6</v>
      </c>
      <c r="G9" s="347">
        <v>7</v>
      </c>
      <c r="H9" s="347">
        <v>8</v>
      </c>
      <c r="I9" s="347">
        <v>9</v>
      </c>
      <c r="J9" s="347">
        <v>10</v>
      </c>
      <c r="K9" s="347">
        <v>11</v>
      </c>
      <c r="L9" s="347">
        <v>12</v>
      </c>
      <c r="M9" s="347">
        <v>13</v>
      </c>
      <c r="N9" s="347">
        <v>19</v>
      </c>
      <c r="O9" s="448"/>
      <c r="P9" s="448"/>
    </row>
    <row r="10" spans="1:16" s="453" customFormat="1" ht="15">
      <c r="A10" s="450"/>
      <c r="B10" s="450" t="s">
        <v>68</v>
      </c>
      <c r="C10" s="450"/>
      <c r="D10" s="451">
        <f>D11+D86+D270</f>
        <v>1549633</v>
      </c>
      <c r="E10" s="451">
        <f>E11+E86+E270</f>
        <v>1421497</v>
      </c>
      <c r="F10" s="451"/>
      <c r="G10" s="451"/>
      <c r="H10" s="451">
        <f t="shared" ref="H10:M10" si="0">H11+H86+H270</f>
        <v>1162404.4501200002</v>
      </c>
      <c r="I10" s="451">
        <f t="shared" si="0"/>
        <v>191974</v>
      </c>
      <c r="J10" s="451">
        <f t="shared" si="0"/>
        <v>135524.22819599998</v>
      </c>
      <c r="K10" s="451">
        <f t="shared" si="0"/>
        <v>36457.770000000004</v>
      </c>
      <c r="L10" s="451">
        <f t="shared" si="0"/>
        <v>36457.506999999998</v>
      </c>
      <c r="M10" s="451">
        <f t="shared" si="0"/>
        <v>191974.26300000001</v>
      </c>
      <c r="N10" s="450"/>
      <c r="O10" s="452"/>
      <c r="P10" s="452"/>
    </row>
    <row r="11" spans="1:16" s="456" customFormat="1" ht="36.75" customHeight="1">
      <c r="A11" s="342" t="s">
        <v>33</v>
      </c>
      <c r="B11" s="343" t="s">
        <v>1954</v>
      </c>
      <c r="C11" s="344"/>
      <c r="D11" s="165">
        <f t="shared" ref="D11:M11" si="1">D12+D27</f>
        <v>731946</v>
      </c>
      <c r="E11" s="165">
        <f t="shared" si="1"/>
        <v>717446</v>
      </c>
      <c r="F11" s="165">
        <f t="shared" si="1"/>
        <v>0</v>
      </c>
      <c r="G11" s="165">
        <f t="shared" si="1"/>
        <v>0</v>
      </c>
      <c r="H11" s="165">
        <f t="shared" si="1"/>
        <v>699360.62712000008</v>
      </c>
      <c r="I11" s="165">
        <f t="shared" si="1"/>
        <v>45789</v>
      </c>
      <c r="J11" s="165">
        <f t="shared" si="1"/>
        <v>13542.977838999999</v>
      </c>
      <c r="K11" s="166">
        <f t="shared" si="1"/>
        <v>18966</v>
      </c>
      <c r="L11" s="166">
        <f t="shared" si="1"/>
        <v>18966</v>
      </c>
      <c r="M11" s="165">
        <f t="shared" si="1"/>
        <v>45789</v>
      </c>
      <c r="N11" s="454"/>
      <c r="O11" s="455"/>
    </row>
    <row r="12" spans="1:16" s="456" customFormat="1" ht="26.25" customHeight="1">
      <c r="A12" s="342" t="s">
        <v>1266</v>
      </c>
      <c r="B12" s="343" t="s">
        <v>1265</v>
      </c>
      <c r="C12" s="344"/>
      <c r="D12" s="165">
        <f t="shared" ref="D12:M12" si="2">D13+D16</f>
        <v>64246</v>
      </c>
      <c r="E12" s="165">
        <f t="shared" si="2"/>
        <v>64246</v>
      </c>
      <c r="F12" s="165">
        <f t="shared" si="2"/>
        <v>0</v>
      </c>
      <c r="G12" s="165">
        <f t="shared" si="2"/>
        <v>0</v>
      </c>
      <c r="H12" s="165">
        <f t="shared" si="2"/>
        <v>64246</v>
      </c>
      <c r="I12" s="165">
        <f t="shared" si="2"/>
        <v>1539</v>
      </c>
      <c r="J12" s="165">
        <f t="shared" si="2"/>
        <v>0</v>
      </c>
      <c r="K12" s="165">
        <f t="shared" si="2"/>
        <v>0</v>
      </c>
      <c r="L12" s="166">
        <f t="shared" si="2"/>
        <v>1181</v>
      </c>
      <c r="M12" s="165">
        <f t="shared" si="2"/>
        <v>358</v>
      </c>
      <c r="N12" s="454"/>
      <c r="O12" s="455"/>
    </row>
    <row r="13" spans="1:16" s="456" customFormat="1" ht="89.25" customHeight="1">
      <c r="A13" s="342" t="s">
        <v>587</v>
      </c>
      <c r="B13" s="343" t="s">
        <v>1267</v>
      </c>
      <c r="C13" s="344"/>
      <c r="D13" s="165">
        <f>D14</f>
        <v>30000</v>
      </c>
      <c r="E13" s="165">
        <f>E14</f>
        <v>30000</v>
      </c>
      <c r="F13" s="165"/>
      <c r="G13" s="165"/>
      <c r="H13" s="165">
        <f t="shared" ref="H13:M14" si="3">H14</f>
        <v>30000</v>
      </c>
      <c r="I13" s="165">
        <f t="shared" si="3"/>
        <v>252</v>
      </c>
      <c r="J13" s="165">
        <f t="shared" si="3"/>
        <v>0</v>
      </c>
      <c r="K13" s="165">
        <f t="shared" si="3"/>
        <v>0</v>
      </c>
      <c r="L13" s="166">
        <f t="shared" si="3"/>
        <v>252</v>
      </c>
      <c r="M13" s="165">
        <f t="shared" si="3"/>
        <v>0</v>
      </c>
      <c r="N13" s="454"/>
      <c r="O13" s="455"/>
    </row>
    <row r="14" spans="1:16" s="456" customFormat="1" ht="22.5" customHeight="1">
      <c r="A14" s="342" t="s">
        <v>120</v>
      </c>
      <c r="B14" s="343" t="s">
        <v>634</v>
      </c>
      <c r="C14" s="344"/>
      <c r="D14" s="165">
        <f>D15</f>
        <v>30000</v>
      </c>
      <c r="E14" s="165">
        <f>E15</f>
        <v>30000</v>
      </c>
      <c r="F14" s="165"/>
      <c r="G14" s="165"/>
      <c r="H14" s="165">
        <f t="shared" si="3"/>
        <v>30000</v>
      </c>
      <c r="I14" s="165">
        <f t="shared" si="3"/>
        <v>252</v>
      </c>
      <c r="J14" s="165">
        <f t="shared" si="3"/>
        <v>0</v>
      </c>
      <c r="K14" s="165">
        <f t="shared" si="3"/>
        <v>0</v>
      </c>
      <c r="L14" s="166">
        <f t="shared" si="3"/>
        <v>252</v>
      </c>
      <c r="M14" s="165">
        <f t="shared" si="3"/>
        <v>0</v>
      </c>
      <c r="N14" s="454"/>
      <c r="O14" s="455"/>
    </row>
    <row r="15" spans="1:16" ht="30.75">
      <c r="A15" s="345"/>
      <c r="B15" s="348" t="s">
        <v>1268</v>
      </c>
      <c r="C15" s="347" t="s">
        <v>1269</v>
      </c>
      <c r="D15" s="167">
        <v>30000</v>
      </c>
      <c r="E15" s="167">
        <v>30000</v>
      </c>
      <c r="F15" s="167" t="s">
        <v>1725</v>
      </c>
      <c r="G15" s="167">
        <v>2022</v>
      </c>
      <c r="H15" s="178">
        <v>30000</v>
      </c>
      <c r="I15" s="178">
        <v>252</v>
      </c>
      <c r="J15" s="178">
        <v>0</v>
      </c>
      <c r="K15" s="178"/>
      <c r="L15" s="187">
        <f>I15</f>
        <v>252</v>
      </c>
      <c r="M15" s="178">
        <f>I15+K15-L15</f>
        <v>0</v>
      </c>
      <c r="N15" s="188"/>
      <c r="O15" s="455"/>
    </row>
    <row r="16" spans="1:16" s="456" customFormat="1" ht="36.75" customHeight="1">
      <c r="A16" s="342" t="s">
        <v>587</v>
      </c>
      <c r="B16" s="343" t="s">
        <v>1271</v>
      </c>
      <c r="C16" s="344"/>
      <c r="D16" s="165">
        <f>D17+D24</f>
        <v>34246</v>
      </c>
      <c r="E16" s="165">
        <f>E17+E24</f>
        <v>34246</v>
      </c>
      <c r="F16" s="165"/>
      <c r="G16" s="165"/>
      <c r="H16" s="165">
        <f t="shared" ref="H16:M16" si="4">H17+H24</f>
        <v>34246</v>
      </c>
      <c r="I16" s="165">
        <f t="shared" si="4"/>
        <v>1287</v>
      </c>
      <c r="J16" s="165">
        <f t="shared" si="4"/>
        <v>0</v>
      </c>
      <c r="K16" s="165">
        <f t="shared" si="4"/>
        <v>0</v>
      </c>
      <c r="L16" s="166">
        <f t="shared" si="4"/>
        <v>929</v>
      </c>
      <c r="M16" s="165">
        <f t="shared" si="4"/>
        <v>358</v>
      </c>
      <c r="N16" s="454"/>
      <c r="O16" s="455"/>
    </row>
    <row r="17" spans="1:17" s="456" customFormat="1" ht="51.75" customHeight="1">
      <c r="A17" s="342" t="s">
        <v>96</v>
      </c>
      <c r="B17" s="334" t="s">
        <v>1273</v>
      </c>
      <c r="C17" s="457"/>
      <c r="D17" s="165">
        <f t="shared" ref="D17:M17" si="5">D18+D20</f>
        <v>26500</v>
      </c>
      <c r="E17" s="165">
        <f t="shared" si="5"/>
        <v>26500</v>
      </c>
      <c r="F17" s="165">
        <f t="shared" si="5"/>
        <v>0</v>
      </c>
      <c r="G17" s="165">
        <f t="shared" si="5"/>
        <v>0</v>
      </c>
      <c r="H17" s="165">
        <f t="shared" si="5"/>
        <v>26500</v>
      </c>
      <c r="I17" s="165">
        <f t="shared" si="5"/>
        <v>841</v>
      </c>
      <c r="J17" s="165">
        <f t="shared" si="5"/>
        <v>0</v>
      </c>
      <c r="K17" s="165">
        <f t="shared" si="5"/>
        <v>0</v>
      </c>
      <c r="L17" s="166">
        <f t="shared" si="5"/>
        <v>483</v>
      </c>
      <c r="M17" s="165">
        <f t="shared" si="5"/>
        <v>358</v>
      </c>
      <c r="N17" s="454"/>
      <c r="O17" s="455"/>
    </row>
    <row r="18" spans="1:17" s="456" customFormat="1" ht="22.5" customHeight="1">
      <c r="A18" s="342">
        <v>1</v>
      </c>
      <c r="B18" s="343" t="s">
        <v>1953</v>
      </c>
      <c r="C18" s="344"/>
      <c r="D18" s="165">
        <f>SUM(D19:D19)</f>
        <v>7000</v>
      </c>
      <c r="E18" s="165">
        <f>SUM(E19:E19)</f>
        <v>7000</v>
      </c>
      <c r="F18" s="165"/>
      <c r="G18" s="165"/>
      <c r="H18" s="165">
        <f t="shared" ref="H18:M18" si="6">SUM(H19:H19)</f>
        <v>7000</v>
      </c>
      <c r="I18" s="165">
        <f t="shared" si="6"/>
        <v>483</v>
      </c>
      <c r="J18" s="165">
        <f t="shared" si="6"/>
        <v>0</v>
      </c>
      <c r="K18" s="165">
        <f t="shared" si="6"/>
        <v>0</v>
      </c>
      <c r="L18" s="166">
        <f t="shared" si="6"/>
        <v>483</v>
      </c>
      <c r="M18" s="165">
        <f t="shared" si="6"/>
        <v>0</v>
      </c>
      <c r="N18" s="327"/>
      <c r="O18" s="455"/>
    </row>
    <row r="19" spans="1:17" ht="75.75" customHeight="1">
      <c r="A19" s="345" t="s">
        <v>975</v>
      </c>
      <c r="B19" s="348" t="s">
        <v>1952</v>
      </c>
      <c r="C19" s="347" t="s">
        <v>1283</v>
      </c>
      <c r="D19" s="167">
        <v>7000</v>
      </c>
      <c r="E19" s="167">
        <v>7000</v>
      </c>
      <c r="F19" s="167" t="s">
        <v>1725</v>
      </c>
      <c r="G19" s="167">
        <v>2022</v>
      </c>
      <c r="H19" s="178">
        <v>7000</v>
      </c>
      <c r="I19" s="178">
        <v>483</v>
      </c>
      <c r="J19" s="178">
        <v>0</v>
      </c>
      <c r="K19" s="178"/>
      <c r="L19" s="187">
        <f>I19</f>
        <v>483</v>
      </c>
      <c r="M19" s="178">
        <f>I19+K19-L19</f>
        <v>0</v>
      </c>
      <c r="N19" s="188"/>
      <c r="O19" s="455"/>
    </row>
    <row r="20" spans="1:17" s="456" customFormat="1" ht="24" customHeight="1">
      <c r="A20" s="342">
        <v>2</v>
      </c>
      <c r="B20" s="343" t="s">
        <v>1951</v>
      </c>
      <c r="C20" s="344"/>
      <c r="D20" s="165">
        <f>SUM(D21:D23)</f>
        <v>19500</v>
      </c>
      <c r="E20" s="165">
        <f>SUM(E21:E23)</f>
        <v>19500</v>
      </c>
      <c r="F20" s="165"/>
      <c r="G20" s="165"/>
      <c r="H20" s="165">
        <f t="shared" ref="H20:M20" si="7">SUM(H21:H23)</f>
        <v>19500</v>
      </c>
      <c r="I20" s="165">
        <f t="shared" si="7"/>
        <v>358</v>
      </c>
      <c r="J20" s="165">
        <f t="shared" si="7"/>
        <v>0</v>
      </c>
      <c r="K20" s="178">
        <f t="shared" si="7"/>
        <v>0</v>
      </c>
      <c r="L20" s="189">
        <f t="shared" si="7"/>
        <v>0</v>
      </c>
      <c r="M20" s="190">
        <f t="shared" si="7"/>
        <v>358</v>
      </c>
      <c r="N20" s="454"/>
      <c r="O20" s="455"/>
    </row>
    <row r="21" spans="1:17" ht="81" customHeight="1">
      <c r="A21" s="357" t="s">
        <v>975</v>
      </c>
      <c r="B21" s="369" t="s">
        <v>1950</v>
      </c>
      <c r="C21" s="347" t="s">
        <v>1949</v>
      </c>
      <c r="D21" s="167">
        <v>6500</v>
      </c>
      <c r="E21" s="167">
        <f>D21</f>
        <v>6500</v>
      </c>
      <c r="F21" s="167" t="s">
        <v>1885</v>
      </c>
      <c r="G21" s="167">
        <v>2022</v>
      </c>
      <c r="H21" s="178">
        <v>6500</v>
      </c>
      <c r="I21" s="178">
        <v>100</v>
      </c>
      <c r="J21" s="178">
        <v>0</v>
      </c>
      <c r="K21" s="178">
        <v>0</v>
      </c>
      <c r="L21" s="187"/>
      <c r="M21" s="178">
        <f>I21+K21-L21</f>
        <v>100</v>
      </c>
      <c r="N21" s="458"/>
      <c r="O21" s="455"/>
    </row>
    <row r="22" spans="1:17" ht="55.5" customHeight="1">
      <c r="A22" s="357" t="s">
        <v>975</v>
      </c>
      <c r="B22" s="369" t="s">
        <v>1948</v>
      </c>
      <c r="C22" s="347" t="s">
        <v>1947</v>
      </c>
      <c r="D22" s="167">
        <v>4500</v>
      </c>
      <c r="E22" s="167">
        <f>D22</f>
        <v>4500</v>
      </c>
      <c r="F22" s="167" t="s">
        <v>1885</v>
      </c>
      <c r="G22" s="167">
        <v>2022</v>
      </c>
      <c r="H22" s="178">
        <v>4500</v>
      </c>
      <c r="I22" s="178">
        <v>100</v>
      </c>
      <c r="J22" s="178">
        <v>0</v>
      </c>
      <c r="K22" s="178">
        <v>0</v>
      </c>
      <c r="L22" s="187"/>
      <c r="M22" s="178">
        <f>I22+K22-L22</f>
        <v>100</v>
      </c>
      <c r="N22" s="458"/>
      <c r="O22" s="455"/>
    </row>
    <row r="23" spans="1:17" ht="55.5" customHeight="1">
      <c r="A23" s="357" t="s">
        <v>975</v>
      </c>
      <c r="B23" s="369" t="s">
        <v>1946</v>
      </c>
      <c r="C23" s="347" t="s">
        <v>1945</v>
      </c>
      <c r="D23" s="167">
        <v>8500</v>
      </c>
      <c r="E23" s="167">
        <f>D23</f>
        <v>8500</v>
      </c>
      <c r="F23" s="167" t="s">
        <v>1885</v>
      </c>
      <c r="G23" s="167">
        <v>2022</v>
      </c>
      <c r="H23" s="178">
        <v>8500</v>
      </c>
      <c r="I23" s="178">
        <v>158</v>
      </c>
      <c r="J23" s="178">
        <v>0</v>
      </c>
      <c r="K23" s="178">
        <v>0</v>
      </c>
      <c r="L23" s="187"/>
      <c r="M23" s="178">
        <f>I23+K23-L23</f>
        <v>158</v>
      </c>
      <c r="N23" s="458"/>
      <c r="O23" s="455"/>
    </row>
    <row r="24" spans="1:17" s="456" customFormat="1" ht="38.25" customHeight="1">
      <c r="A24" s="327" t="s">
        <v>97</v>
      </c>
      <c r="B24" s="459" t="s">
        <v>1285</v>
      </c>
      <c r="C24" s="344"/>
      <c r="D24" s="165">
        <f t="shared" ref="D24:M25" si="8">D25</f>
        <v>7746</v>
      </c>
      <c r="E24" s="165">
        <f t="shared" si="8"/>
        <v>7746</v>
      </c>
      <c r="F24" s="165" t="str">
        <f t="shared" si="8"/>
        <v>2022-2023</v>
      </c>
      <c r="G24" s="165">
        <f t="shared" si="8"/>
        <v>2022</v>
      </c>
      <c r="H24" s="165">
        <f t="shared" si="8"/>
        <v>7746</v>
      </c>
      <c r="I24" s="165">
        <f t="shared" si="8"/>
        <v>446</v>
      </c>
      <c r="J24" s="165">
        <f t="shared" si="8"/>
        <v>0</v>
      </c>
      <c r="K24" s="165">
        <f t="shared" si="8"/>
        <v>0</v>
      </c>
      <c r="L24" s="166">
        <f t="shared" si="8"/>
        <v>446</v>
      </c>
      <c r="M24" s="165">
        <f t="shared" si="8"/>
        <v>0</v>
      </c>
      <c r="N24" s="454"/>
      <c r="O24" s="455"/>
    </row>
    <row r="25" spans="1:17" s="456" customFormat="1" ht="38.25" customHeight="1">
      <c r="A25" s="327">
        <v>1</v>
      </c>
      <c r="B25" s="459" t="s">
        <v>1977</v>
      </c>
      <c r="C25" s="344"/>
      <c r="D25" s="165">
        <f t="shared" si="8"/>
        <v>7746</v>
      </c>
      <c r="E25" s="165">
        <f t="shared" si="8"/>
        <v>7746</v>
      </c>
      <c r="F25" s="165" t="str">
        <f t="shared" si="8"/>
        <v>2022-2023</v>
      </c>
      <c r="G25" s="165">
        <f t="shared" si="8"/>
        <v>2022</v>
      </c>
      <c r="H25" s="165">
        <f t="shared" si="8"/>
        <v>7746</v>
      </c>
      <c r="I25" s="165">
        <f t="shared" si="8"/>
        <v>446</v>
      </c>
      <c r="J25" s="165">
        <f t="shared" si="8"/>
        <v>0</v>
      </c>
      <c r="K25" s="165">
        <f t="shared" si="8"/>
        <v>0</v>
      </c>
      <c r="L25" s="166">
        <f t="shared" si="8"/>
        <v>446</v>
      </c>
      <c r="M25" s="165">
        <f t="shared" si="8"/>
        <v>0</v>
      </c>
      <c r="N25" s="454"/>
      <c r="O25" s="455"/>
    </row>
    <row r="26" spans="1:17" ht="61.5">
      <c r="A26" s="357">
        <v>1</v>
      </c>
      <c r="B26" s="369" t="s">
        <v>1287</v>
      </c>
      <c r="C26" s="460" t="s">
        <v>1288</v>
      </c>
      <c r="D26" s="167">
        <v>7746</v>
      </c>
      <c r="E26" s="167">
        <v>7746</v>
      </c>
      <c r="F26" s="167" t="s">
        <v>1885</v>
      </c>
      <c r="G26" s="167">
        <v>2022</v>
      </c>
      <c r="H26" s="178">
        <v>7746</v>
      </c>
      <c r="I26" s="178">
        <v>446</v>
      </c>
      <c r="J26" s="178"/>
      <c r="K26" s="178"/>
      <c r="L26" s="187">
        <v>446</v>
      </c>
      <c r="M26" s="178">
        <f>I26+K26-L26</f>
        <v>0</v>
      </c>
      <c r="N26" s="458"/>
      <c r="O26" s="455"/>
    </row>
    <row r="27" spans="1:17" s="456" customFormat="1" ht="20.25" customHeight="1">
      <c r="A27" s="342" t="s">
        <v>1270</v>
      </c>
      <c r="B27" s="343" t="s">
        <v>1394</v>
      </c>
      <c r="C27" s="344"/>
      <c r="D27" s="165">
        <f t="shared" ref="D27:M27" si="9">SUM(D28,D32,D59,D66,D72,D75,D81)</f>
        <v>667700</v>
      </c>
      <c r="E27" s="165">
        <f t="shared" si="9"/>
        <v>653200</v>
      </c>
      <c r="F27" s="165">
        <f t="shared" si="9"/>
        <v>0</v>
      </c>
      <c r="G27" s="165">
        <f t="shared" si="9"/>
        <v>0</v>
      </c>
      <c r="H27" s="165">
        <f t="shared" si="9"/>
        <v>635114.62712000008</v>
      </c>
      <c r="I27" s="165">
        <f t="shared" si="9"/>
        <v>44250</v>
      </c>
      <c r="J27" s="165">
        <f t="shared" si="9"/>
        <v>13542.977838999999</v>
      </c>
      <c r="K27" s="165">
        <f t="shared" si="9"/>
        <v>18966</v>
      </c>
      <c r="L27" s="166">
        <f t="shared" si="9"/>
        <v>17785</v>
      </c>
      <c r="M27" s="165">
        <f t="shared" si="9"/>
        <v>45431</v>
      </c>
      <c r="N27" s="454"/>
      <c r="O27" s="455"/>
    </row>
    <row r="28" spans="1:17" s="463" customFormat="1" ht="20.25" customHeight="1">
      <c r="A28" s="342" t="s">
        <v>1732</v>
      </c>
      <c r="B28" s="343" t="s">
        <v>243</v>
      </c>
      <c r="C28" s="344"/>
      <c r="D28" s="165">
        <f>SUM(D29:D31)</f>
        <v>29977</v>
      </c>
      <c r="E28" s="165">
        <f>SUM(E29:E31)</f>
        <v>29977</v>
      </c>
      <c r="F28" s="165"/>
      <c r="G28" s="165"/>
      <c r="H28" s="165">
        <f t="shared" ref="H28:M28" si="10">SUM(H29:H31)</f>
        <v>29977</v>
      </c>
      <c r="I28" s="165">
        <f t="shared" si="10"/>
        <v>4031</v>
      </c>
      <c r="J28" s="165">
        <f t="shared" si="10"/>
        <v>3010.8</v>
      </c>
      <c r="K28" s="165">
        <f t="shared" si="10"/>
        <v>0</v>
      </c>
      <c r="L28" s="166">
        <f t="shared" si="10"/>
        <v>678</v>
      </c>
      <c r="M28" s="165">
        <f t="shared" si="10"/>
        <v>3353</v>
      </c>
      <c r="N28" s="461"/>
      <c r="O28" s="455"/>
      <c r="P28" s="462"/>
      <c r="Q28" s="462"/>
    </row>
    <row r="29" spans="1:17" s="465" customFormat="1" ht="72.75" customHeight="1">
      <c r="A29" s="357">
        <v>1</v>
      </c>
      <c r="B29" s="369" t="s">
        <v>1944</v>
      </c>
      <c r="C29" s="347" t="s">
        <v>1374</v>
      </c>
      <c r="D29" s="167">
        <v>8407</v>
      </c>
      <c r="E29" s="167">
        <v>8407</v>
      </c>
      <c r="F29" s="167" t="s">
        <v>1209</v>
      </c>
      <c r="G29" s="167">
        <v>2024</v>
      </c>
      <c r="H29" s="178">
        <v>8407</v>
      </c>
      <c r="I29" s="178">
        <v>3247</v>
      </c>
      <c r="J29" s="178">
        <f>I29-362</f>
        <v>2885</v>
      </c>
      <c r="K29" s="191"/>
      <c r="L29" s="187">
        <v>362</v>
      </c>
      <c r="M29" s="178">
        <f>I29+K29-L29</f>
        <v>2885</v>
      </c>
      <c r="N29" s="464"/>
      <c r="O29" s="455"/>
    </row>
    <row r="30" spans="1:17" s="470" customFormat="1" ht="81.75" customHeight="1">
      <c r="A30" s="466">
        <v>2</v>
      </c>
      <c r="B30" s="467" t="s">
        <v>1371</v>
      </c>
      <c r="C30" s="460" t="s">
        <v>1943</v>
      </c>
      <c r="D30" s="192">
        <v>8000</v>
      </c>
      <c r="E30" s="192">
        <v>8000</v>
      </c>
      <c r="F30" s="193" t="s">
        <v>1209</v>
      </c>
      <c r="G30" s="193" t="s">
        <v>1748</v>
      </c>
      <c r="H30" s="192">
        <v>8000</v>
      </c>
      <c r="I30" s="192">
        <v>500</v>
      </c>
      <c r="J30" s="192">
        <v>115</v>
      </c>
      <c r="K30" s="194"/>
      <c r="L30" s="195">
        <v>43</v>
      </c>
      <c r="M30" s="178">
        <f>I30+K30-L30</f>
        <v>457</v>
      </c>
      <c r="N30" s="468"/>
      <c r="O30" s="455"/>
      <c r="P30" s="155"/>
      <c r="Q30" s="469"/>
    </row>
    <row r="31" spans="1:17" s="470" customFormat="1" ht="77.25" customHeight="1">
      <c r="A31" s="466">
        <v>3</v>
      </c>
      <c r="B31" s="467" t="s">
        <v>1369</v>
      </c>
      <c r="C31" s="196" t="s">
        <v>1942</v>
      </c>
      <c r="D31" s="192">
        <v>13570</v>
      </c>
      <c r="E31" s="192">
        <v>13570</v>
      </c>
      <c r="F31" s="193" t="s">
        <v>1220</v>
      </c>
      <c r="G31" s="193" t="s">
        <v>1773</v>
      </c>
      <c r="H31" s="192">
        <v>13570</v>
      </c>
      <c r="I31" s="192">
        <v>284</v>
      </c>
      <c r="J31" s="192">
        <v>10.8</v>
      </c>
      <c r="K31" s="194"/>
      <c r="L31" s="195">
        <v>273</v>
      </c>
      <c r="M31" s="178">
        <f>I31+K31-L31</f>
        <v>11</v>
      </c>
      <c r="N31" s="468"/>
      <c r="O31" s="455"/>
      <c r="P31" s="155"/>
      <c r="Q31" s="469"/>
    </row>
    <row r="32" spans="1:17" s="456" customFormat="1" ht="26.25" customHeight="1">
      <c r="A32" s="342" t="s">
        <v>1730</v>
      </c>
      <c r="B32" s="343" t="s">
        <v>401</v>
      </c>
      <c r="C32" s="344"/>
      <c r="D32" s="197">
        <f>D33+D56</f>
        <v>207810</v>
      </c>
      <c r="E32" s="197">
        <f>E33+E56</f>
        <v>193310</v>
      </c>
      <c r="F32" s="197"/>
      <c r="G32" s="197"/>
      <c r="H32" s="197">
        <f t="shared" ref="H32:M32" si="11">H33+H56</f>
        <v>193310</v>
      </c>
      <c r="I32" s="197">
        <f t="shared" si="11"/>
        <v>6185</v>
      </c>
      <c r="J32" s="197">
        <f t="shared" si="11"/>
        <v>3011.3760000000002</v>
      </c>
      <c r="K32" s="197">
        <f t="shared" si="11"/>
        <v>2966</v>
      </c>
      <c r="L32" s="198">
        <f t="shared" si="11"/>
        <v>2913</v>
      </c>
      <c r="M32" s="197">
        <f t="shared" si="11"/>
        <v>6238</v>
      </c>
      <c r="N32" s="454"/>
      <c r="O32" s="455"/>
      <c r="P32" s="455"/>
      <c r="Q32" s="455"/>
    </row>
    <row r="33" spans="1:19" s="456" customFormat="1" ht="65.25" customHeight="1">
      <c r="A33" s="342"/>
      <c r="B33" s="368" t="s">
        <v>1941</v>
      </c>
      <c r="C33" s="344"/>
      <c r="D33" s="197">
        <f>D34+D47+D52</f>
        <v>167810</v>
      </c>
      <c r="E33" s="197">
        <f>E34+E47+E52</f>
        <v>153310</v>
      </c>
      <c r="F33" s="197">
        <f>F34+F47+F52</f>
        <v>0</v>
      </c>
      <c r="G33" s="197"/>
      <c r="H33" s="197">
        <f>H34+H47+H52</f>
        <v>153310</v>
      </c>
      <c r="I33" s="197">
        <f>I34+I47+I52</f>
        <v>5281</v>
      </c>
      <c r="J33" s="197">
        <f>J34+J47+J52</f>
        <v>2711.3760000000002</v>
      </c>
      <c r="K33" s="197">
        <f>K34+K47+K52</f>
        <v>2966</v>
      </c>
      <c r="L33" s="198">
        <f>L34+L47+L52</f>
        <v>2507</v>
      </c>
      <c r="M33" s="178">
        <f t="shared" ref="M33:M58" si="12">I33+K33-L33</f>
        <v>5740</v>
      </c>
      <c r="N33" s="454"/>
      <c r="O33" s="455"/>
    </row>
    <row r="34" spans="1:19" s="475" customFormat="1" ht="20.25" customHeight="1">
      <c r="A34" s="471" t="s">
        <v>96</v>
      </c>
      <c r="B34" s="472" t="s">
        <v>1914</v>
      </c>
      <c r="C34" s="473"/>
      <c r="D34" s="199">
        <f>SUM(D35:D46)</f>
        <v>113310</v>
      </c>
      <c r="E34" s="199">
        <f>SUM(E35:E46)</f>
        <v>113310</v>
      </c>
      <c r="F34" s="199">
        <f>SUM(F35:F46)</f>
        <v>0</v>
      </c>
      <c r="G34" s="199"/>
      <c r="H34" s="199">
        <f>SUM(H35:H46)</f>
        <v>113310</v>
      </c>
      <c r="I34" s="199">
        <f>SUM(I35:I46)</f>
        <v>2261</v>
      </c>
      <c r="J34" s="199">
        <f>SUM(J35:J46)</f>
        <v>91.241000000000014</v>
      </c>
      <c r="K34" s="199">
        <f>SUM(K35:K46)</f>
        <v>0</v>
      </c>
      <c r="L34" s="200">
        <f>SUM(L35:L46)</f>
        <v>2107</v>
      </c>
      <c r="M34" s="178">
        <f t="shared" si="12"/>
        <v>154</v>
      </c>
      <c r="N34" s="474"/>
      <c r="O34" s="455"/>
    </row>
    <row r="35" spans="1:19" ht="62.25" customHeight="1">
      <c r="A35" s="357">
        <v>1</v>
      </c>
      <c r="B35" s="332" t="s">
        <v>1304</v>
      </c>
      <c r="C35" s="347" t="s">
        <v>1933</v>
      </c>
      <c r="D35" s="176">
        <v>3500</v>
      </c>
      <c r="E35" s="176">
        <v>3500</v>
      </c>
      <c r="F35" s="173" t="s">
        <v>1928</v>
      </c>
      <c r="G35" s="175" t="s">
        <v>1773</v>
      </c>
      <c r="H35" s="176">
        <v>3500</v>
      </c>
      <c r="I35" s="176">
        <v>7</v>
      </c>
      <c r="J35" s="176"/>
      <c r="K35" s="176"/>
      <c r="L35" s="177">
        <v>2</v>
      </c>
      <c r="M35" s="178">
        <f t="shared" si="12"/>
        <v>5</v>
      </c>
      <c r="N35" s="466" t="s">
        <v>1719</v>
      </c>
      <c r="O35" s="455"/>
    </row>
    <row r="36" spans="1:19" ht="46.15">
      <c r="A36" s="357">
        <v>2</v>
      </c>
      <c r="B36" s="332" t="s">
        <v>1306</v>
      </c>
      <c r="C36" s="347" t="s">
        <v>1940</v>
      </c>
      <c r="D36" s="176">
        <v>3400</v>
      </c>
      <c r="E36" s="176">
        <v>3400</v>
      </c>
      <c r="F36" s="173" t="s">
        <v>1928</v>
      </c>
      <c r="G36" s="175" t="s">
        <v>1773</v>
      </c>
      <c r="H36" s="176">
        <v>3400</v>
      </c>
      <c r="I36" s="176">
        <v>80</v>
      </c>
      <c r="J36" s="176"/>
      <c r="K36" s="176"/>
      <c r="L36" s="177">
        <v>80</v>
      </c>
      <c r="M36" s="178">
        <f t="shared" si="12"/>
        <v>0</v>
      </c>
      <c r="N36" s="466" t="s">
        <v>1719</v>
      </c>
      <c r="O36" s="455"/>
    </row>
    <row r="37" spans="1:19" ht="55.5" customHeight="1">
      <c r="A37" s="357">
        <v>3</v>
      </c>
      <c r="B37" s="332" t="s">
        <v>1308</v>
      </c>
      <c r="C37" s="347" t="s">
        <v>1939</v>
      </c>
      <c r="D37" s="176">
        <v>3500</v>
      </c>
      <c r="E37" s="176">
        <v>3500</v>
      </c>
      <c r="F37" s="173" t="s">
        <v>1928</v>
      </c>
      <c r="G37" s="175" t="s">
        <v>1773</v>
      </c>
      <c r="H37" s="176">
        <v>3500</v>
      </c>
      <c r="I37" s="176">
        <v>52</v>
      </c>
      <c r="J37" s="176"/>
      <c r="K37" s="176"/>
      <c r="L37" s="177">
        <v>52</v>
      </c>
      <c r="M37" s="178">
        <f t="shared" si="12"/>
        <v>0</v>
      </c>
      <c r="N37" s="466" t="s">
        <v>1719</v>
      </c>
      <c r="O37" s="455"/>
    </row>
    <row r="38" spans="1:19" ht="55.5" customHeight="1">
      <c r="A38" s="357">
        <v>4</v>
      </c>
      <c r="B38" s="332" t="s">
        <v>1938</v>
      </c>
      <c r="C38" s="347" t="s">
        <v>1937</v>
      </c>
      <c r="D38" s="176">
        <v>3500</v>
      </c>
      <c r="E38" s="176">
        <v>3500</v>
      </c>
      <c r="F38" s="173" t="s">
        <v>1928</v>
      </c>
      <c r="G38" s="175" t="s">
        <v>1773</v>
      </c>
      <c r="H38" s="176">
        <v>3500</v>
      </c>
      <c r="I38" s="176">
        <v>39</v>
      </c>
      <c r="J38" s="176"/>
      <c r="K38" s="176"/>
      <c r="L38" s="177">
        <v>39</v>
      </c>
      <c r="M38" s="178">
        <f t="shared" si="12"/>
        <v>0</v>
      </c>
      <c r="N38" s="466" t="s">
        <v>1719</v>
      </c>
      <c r="O38" s="455"/>
    </row>
    <row r="39" spans="1:19" ht="55.5" customHeight="1">
      <c r="A39" s="357">
        <v>5</v>
      </c>
      <c r="B39" s="332" t="s">
        <v>1312</v>
      </c>
      <c r="C39" s="347" t="s">
        <v>1936</v>
      </c>
      <c r="D39" s="176">
        <v>5000</v>
      </c>
      <c r="E39" s="176">
        <v>5000</v>
      </c>
      <c r="F39" s="173" t="s">
        <v>1928</v>
      </c>
      <c r="G39" s="175" t="s">
        <v>1773</v>
      </c>
      <c r="H39" s="176">
        <v>5000</v>
      </c>
      <c r="I39" s="176">
        <v>51</v>
      </c>
      <c r="J39" s="176"/>
      <c r="K39" s="176"/>
      <c r="L39" s="177">
        <v>51</v>
      </c>
      <c r="M39" s="178">
        <f t="shared" si="12"/>
        <v>0</v>
      </c>
      <c r="N39" s="466" t="s">
        <v>1719</v>
      </c>
      <c r="O39" s="455"/>
    </row>
    <row r="40" spans="1:19" ht="59.25" customHeight="1">
      <c r="A40" s="357">
        <v>6</v>
      </c>
      <c r="B40" s="332" t="s">
        <v>1318</v>
      </c>
      <c r="C40" s="347" t="s">
        <v>1935</v>
      </c>
      <c r="D40" s="176">
        <v>14000</v>
      </c>
      <c r="E40" s="176">
        <v>14000</v>
      </c>
      <c r="F40" s="173" t="s">
        <v>1928</v>
      </c>
      <c r="G40" s="175" t="s">
        <v>1773</v>
      </c>
      <c r="H40" s="176">
        <v>14000</v>
      </c>
      <c r="I40" s="176">
        <v>166</v>
      </c>
      <c r="J40" s="176"/>
      <c r="K40" s="176"/>
      <c r="L40" s="177">
        <v>166</v>
      </c>
      <c r="M40" s="178">
        <f t="shared" si="12"/>
        <v>0</v>
      </c>
      <c r="N40" s="466" t="s">
        <v>1719</v>
      </c>
      <c r="O40" s="455"/>
    </row>
    <row r="41" spans="1:19" ht="61.5">
      <c r="A41" s="357">
        <v>7</v>
      </c>
      <c r="B41" s="332" t="s">
        <v>1934</v>
      </c>
      <c r="C41" s="347" t="s">
        <v>1933</v>
      </c>
      <c r="D41" s="176">
        <v>6000</v>
      </c>
      <c r="E41" s="176">
        <v>6000</v>
      </c>
      <c r="F41" s="173" t="s">
        <v>1928</v>
      </c>
      <c r="G41" s="175" t="s">
        <v>1773</v>
      </c>
      <c r="H41" s="176">
        <v>6000</v>
      </c>
      <c r="I41" s="176">
        <v>53</v>
      </c>
      <c r="J41" s="176"/>
      <c r="K41" s="176"/>
      <c r="L41" s="177">
        <v>53</v>
      </c>
      <c r="M41" s="178">
        <f t="shared" si="12"/>
        <v>0</v>
      </c>
      <c r="N41" s="466" t="s">
        <v>1719</v>
      </c>
      <c r="O41" s="455"/>
    </row>
    <row r="42" spans="1:19" ht="54" customHeight="1">
      <c r="A42" s="357"/>
      <c r="B42" s="467" t="s">
        <v>1932</v>
      </c>
      <c r="C42" s="347" t="s">
        <v>1931</v>
      </c>
      <c r="D42" s="176">
        <v>7500</v>
      </c>
      <c r="E42" s="176">
        <v>7500</v>
      </c>
      <c r="F42" s="173" t="s">
        <v>1928</v>
      </c>
      <c r="G42" s="201">
        <v>2022</v>
      </c>
      <c r="H42" s="176">
        <v>7500</v>
      </c>
      <c r="I42" s="176">
        <v>60</v>
      </c>
      <c r="J42" s="176">
        <v>35.504000000000005</v>
      </c>
      <c r="K42" s="176"/>
      <c r="L42" s="177">
        <v>24</v>
      </c>
      <c r="M42" s="178">
        <f t="shared" si="12"/>
        <v>36</v>
      </c>
      <c r="N42" s="466" t="s">
        <v>1719</v>
      </c>
      <c r="O42" s="455"/>
    </row>
    <row r="43" spans="1:19" ht="54" customHeight="1">
      <c r="A43" s="357">
        <v>8</v>
      </c>
      <c r="B43" s="369" t="s">
        <v>1930</v>
      </c>
      <c r="C43" s="347" t="s">
        <v>1929</v>
      </c>
      <c r="D43" s="176">
        <v>34000</v>
      </c>
      <c r="E43" s="176">
        <v>34000</v>
      </c>
      <c r="F43" s="173" t="s">
        <v>1928</v>
      </c>
      <c r="G43" s="175" t="s">
        <v>1773</v>
      </c>
      <c r="H43" s="176">
        <v>34000</v>
      </c>
      <c r="I43" s="178">
        <v>1242</v>
      </c>
      <c r="J43" s="178"/>
      <c r="K43" s="202"/>
      <c r="L43" s="187">
        <v>1185</v>
      </c>
      <c r="M43" s="178">
        <f t="shared" si="12"/>
        <v>57</v>
      </c>
      <c r="N43" s="466" t="s">
        <v>1719</v>
      </c>
      <c r="O43" s="455"/>
    </row>
    <row r="44" spans="1:19" s="477" customFormat="1" ht="69.75" customHeight="1">
      <c r="A44" s="466">
        <v>1</v>
      </c>
      <c r="B44" s="467" t="s">
        <v>1300</v>
      </c>
      <c r="C44" s="196" t="s">
        <v>1301</v>
      </c>
      <c r="D44" s="192">
        <v>13410</v>
      </c>
      <c r="E44" s="192">
        <v>13410</v>
      </c>
      <c r="F44" s="193" t="s">
        <v>1220</v>
      </c>
      <c r="G44" s="193" t="s">
        <v>1773</v>
      </c>
      <c r="H44" s="192">
        <v>13410</v>
      </c>
      <c r="I44" s="192">
        <v>151</v>
      </c>
      <c r="J44" s="192">
        <v>10.6</v>
      </c>
      <c r="K44" s="194"/>
      <c r="L44" s="195">
        <v>140</v>
      </c>
      <c r="M44" s="178">
        <f t="shared" si="12"/>
        <v>11</v>
      </c>
      <c r="N44" s="468"/>
      <c r="O44" s="455"/>
      <c r="P44" s="154"/>
      <c r="Q44" s="476"/>
      <c r="S44" s="478"/>
    </row>
    <row r="45" spans="1:19" ht="30.75">
      <c r="A45" s="345">
        <v>2</v>
      </c>
      <c r="B45" s="348" t="s">
        <v>1927</v>
      </c>
      <c r="C45" s="347" t="s">
        <v>1926</v>
      </c>
      <c r="D45" s="167">
        <v>5000</v>
      </c>
      <c r="E45" s="167">
        <v>5000</v>
      </c>
      <c r="F45" s="167" t="s">
        <v>1885</v>
      </c>
      <c r="G45" s="167">
        <v>2022</v>
      </c>
      <c r="H45" s="178">
        <v>5000</v>
      </c>
      <c r="I45" s="178">
        <v>280</v>
      </c>
      <c r="J45" s="178">
        <v>0</v>
      </c>
      <c r="K45" s="178"/>
      <c r="L45" s="187">
        <v>280</v>
      </c>
      <c r="M45" s="178">
        <f t="shared" si="12"/>
        <v>0</v>
      </c>
      <c r="N45" s="188"/>
      <c r="O45" s="455"/>
    </row>
    <row r="46" spans="1:19" ht="65.25" customHeight="1">
      <c r="A46" s="357">
        <v>9</v>
      </c>
      <c r="B46" s="332" t="s">
        <v>1925</v>
      </c>
      <c r="C46" s="347" t="s">
        <v>1924</v>
      </c>
      <c r="D46" s="176">
        <v>14500</v>
      </c>
      <c r="E46" s="176">
        <v>14500</v>
      </c>
      <c r="F46" s="173" t="s">
        <v>1801</v>
      </c>
      <c r="G46" s="175" t="s">
        <v>1773</v>
      </c>
      <c r="H46" s="176">
        <v>14500</v>
      </c>
      <c r="I46" s="178">
        <v>80</v>
      </c>
      <c r="J46" s="178">
        <v>45.137</v>
      </c>
      <c r="K46" s="202"/>
      <c r="L46" s="187">
        <v>35</v>
      </c>
      <c r="M46" s="178">
        <f t="shared" si="12"/>
        <v>45</v>
      </c>
      <c r="N46" s="466" t="s">
        <v>1719</v>
      </c>
      <c r="O46" s="455"/>
    </row>
    <row r="47" spans="1:19" s="475" customFormat="1" ht="25.5" customHeight="1">
      <c r="A47" s="479" t="s">
        <v>97</v>
      </c>
      <c r="B47" s="480" t="s">
        <v>1797</v>
      </c>
      <c r="C47" s="473"/>
      <c r="D47" s="203">
        <f>SUM(D48:D51)</f>
        <v>31000</v>
      </c>
      <c r="E47" s="203">
        <f>SUM(E48:E51)</f>
        <v>31000</v>
      </c>
      <c r="F47" s="204"/>
      <c r="G47" s="204"/>
      <c r="H47" s="203">
        <f>SUM(H48:H51)</f>
        <v>31000</v>
      </c>
      <c r="I47" s="203">
        <f>SUM(I48:I51)</f>
        <v>2020</v>
      </c>
      <c r="J47" s="203">
        <f>SUM(J48:J51)</f>
        <v>1721.5250000000001</v>
      </c>
      <c r="K47" s="203">
        <f>SUM(K48:K51)</f>
        <v>0</v>
      </c>
      <c r="L47" s="205">
        <f>SUM(L48:L51)</f>
        <v>299</v>
      </c>
      <c r="M47" s="178">
        <f t="shared" si="12"/>
        <v>1721</v>
      </c>
      <c r="N47" s="474"/>
      <c r="O47" s="455"/>
    </row>
    <row r="48" spans="1:19" ht="46.15">
      <c r="A48" s="357">
        <v>1</v>
      </c>
      <c r="B48" s="467" t="s">
        <v>1923</v>
      </c>
      <c r="C48" s="466" t="s">
        <v>1922</v>
      </c>
      <c r="D48" s="176">
        <v>12500</v>
      </c>
      <c r="E48" s="176">
        <v>12500</v>
      </c>
      <c r="F48" s="173" t="s">
        <v>1801</v>
      </c>
      <c r="G48" s="201">
        <v>2023</v>
      </c>
      <c r="H48" s="176">
        <v>12500</v>
      </c>
      <c r="I48" s="176">
        <v>300</v>
      </c>
      <c r="J48" s="176">
        <v>265.084</v>
      </c>
      <c r="K48" s="176"/>
      <c r="L48" s="177">
        <v>35</v>
      </c>
      <c r="M48" s="178">
        <f t="shared" si="12"/>
        <v>265</v>
      </c>
      <c r="N48" s="466" t="s">
        <v>1719</v>
      </c>
      <c r="O48" s="455"/>
    </row>
    <row r="49" spans="1:26" ht="59.25" customHeight="1">
      <c r="A49" s="357">
        <v>2</v>
      </c>
      <c r="B49" s="467" t="s">
        <v>1921</v>
      </c>
      <c r="C49" s="466" t="s">
        <v>1920</v>
      </c>
      <c r="D49" s="176">
        <v>7500</v>
      </c>
      <c r="E49" s="176">
        <v>7500</v>
      </c>
      <c r="F49" s="173" t="s">
        <v>1801</v>
      </c>
      <c r="G49" s="201">
        <v>2023</v>
      </c>
      <c r="H49" s="176">
        <v>7500</v>
      </c>
      <c r="I49" s="176">
        <v>876</v>
      </c>
      <c r="J49" s="176">
        <v>728.64099999999996</v>
      </c>
      <c r="K49" s="176"/>
      <c r="L49" s="177">
        <v>147</v>
      </c>
      <c r="M49" s="178">
        <f t="shared" si="12"/>
        <v>729</v>
      </c>
      <c r="N49" s="466" t="s">
        <v>1719</v>
      </c>
      <c r="O49" s="455"/>
    </row>
    <row r="50" spans="1:26" ht="59.25" customHeight="1">
      <c r="A50" s="357">
        <v>3</v>
      </c>
      <c r="B50" s="467" t="s">
        <v>1919</v>
      </c>
      <c r="C50" s="466" t="s">
        <v>1918</v>
      </c>
      <c r="D50" s="176">
        <v>6000</v>
      </c>
      <c r="E50" s="176">
        <v>6000</v>
      </c>
      <c r="F50" s="201" t="s">
        <v>1796</v>
      </c>
      <c r="G50" s="201">
        <v>2023</v>
      </c>
      <c r="H50" s="176">
        <v>6000</v>
      </c>
      <c r="I50" s="176">
        <v>533</v>
      </c>
      <c r="J50" s="176">
        <v>494.17700000000002</v>
      </c>
      <c r="K50" s="176"/>
      <c r="L50" s="177">
        <v>39</v>
      </c>
      <c r="M50" s="178">
        <f t="shared" si="12"/>
        <v>494</v>
      </c>
      <c r="N50" s="466" t="s">
        <v>1719</v>
      </c>
      <c r="O50" s="455"/>
    </row>
    <row r="51" spans="1:26" ht="59.25" customHeight="1">
      <c r="A51" s="357">
        <v>4</v>
      </c>
      <c r="B51" s="467" t="s">
        <v>1328</v>
      </c>
      <c r="C51" s="466" t="s">
        <v>1917</v>
      </c>
      <c r="D51" s="176">
        <v>5000</v>
      </c>
      <c r="E51" s="176">
        <v>5000</v>
      </c>
      <c r="F51" s="201" t="s">
        <v>1796</v>
      </c>
      <c r="G51" s="201">
        <v>2023</v>
      </c>
      <c r="H51" s="176">
        <v>5000</v>
      </c>
      <c r="I51" s="176">
        <v>311</v>
      </c>
      <c r="J51" s="176">
        <v>233.62299999999999</v>
      </c>
      <c r="K51" s="176"/>
      <c r="L51" s="177">
        <v>78</v>
      </c>
      <c r="M51" s="178">
        <f t="shared" si="12"/>
        <v>233</v>
      </c>
      <c r="N51" s="466" t="s">
        <v>1719</v>
      </c>
      <c r="O51" s="455"/>
    </row>
    <row r="52" spans="1:26" ht="23.25" customHeight="1">
      <c r="A52" s="479" t="s">
        <v>1916</v>
      </c>
      <c r="B52" s="480" t="s">
        <v>1723</v>
      </c>
      <c r="C52" s="473"/>
      <c r="D52" s="205">
        <f t="shared" ref="D52:L52" si="13">SUM(D53:D55)</f>
        <v>23500</v>
      </c>
      <c r="E52" s="205">
        <f t="shared" si="13"/>
        <v>9000</v>
      </c>
      <c r="F52" s="205">
        <f t="shared" si="13"/>
        <v>0</v>
      </c>
      <c r="G52" s="205">
        <f t="shared" si="13"/>
        <v>4048</v>
      </c>
      <c r="H52" s="205">
        <f t="shared" si="13"/>
        <v>9000</v>
      </c>
      <c r="I52" s="205">
        <f t="shared" si="13"/>
        <v>1000</v>
      </c>
      <c r="J52" s="205">
        <f t="shared" si="13"/>
        <v>898.61</v>
      </c>
      <c r="K52" s="205">
        <f t="shared" si="13"/>
        <v>2966</v>
      </c>
      <c r="L52" s="205">
        <f t="shared" si="13"/>
        <v>101</v>
      </c>
      <c r="M52" s="205">
        <f>SUM(M53:M55)</f>
        <v>3865</v>
      </c>
      <c r="N52" s="474"/>
      <c r="O52" s="455"/>
    </row>
    <row r="53" spans="1:26" ht="46.15">
      <c r="A53" s="357">
        <v>3</v>
      </c>
      <c r="B53" s="467" t="s">
        <v>1330</v>
      </c>
      <c r="C53" s="466" t="s">
        <v>1331</v>
      </c>
      <c r="D53" s="176">
        <v>4500</v>
      </c>
      <c r="E53" s="176">
        <v>4500</v>
      </c>
      <c r="F53" s="201" t="s">
        <v>1722</v>
      </c>
      <c r="G53" s="201">
        <v>2024</v>
      </c>
      <c r="H53" s="176">
        <v>4500</v>
      </c>
      <c r="I53" s="176">
        <v>500</v>
      </c>
      <c r="J53" s="176">
        <v>401.85</v>
      </c>
      <c r="K53" s="176"/>
      <c r="L53" s="177">
        <v>98</v>
      </c>
      <c r="M53" s="178">
        <f t="shared" si="12"/>
        <v>402</v>
      </c>
      <c r="N53" s="466" t="s">
        <v>1719</v>
      </c>
      <c r="O53" s="455"/>
    </row>
    <row r="54" spans="1:26" ht="46.15">
      <c r="A54" s="357">
        <v>4</v>
      </c>
      <c r="B54" s="467" t="s">
        <v>1332</v>
      </c>
      <c r="C54" s="466" t="s">
        <v>1333</v>
      </c>
      <c r="D54" s="176">
        <v>4500</v>
      </c>
      <c r="E54" s="176">
        <v>4500</v>
      </c>
      <c r="F54" s="201" t="s">
        <v>1722</v>
      </c>
      <c r="G54" s="201">
        <v>2024</v>
      </c>
      <c r="H54" s="176">
        <v>4500</v>
      </c>
      <c r="I54" s="176">
        <v>500</v>
      </c>
      <c r="J54" s="176">
        <v>496.76</v>
      </c>
      <c r="K54" s="176"/>
      <c r="L54" s="177">
        <v>3</v>
      </c>
      <c r="M54" s="178">
        <f t="shared" si="12"/>
        <v>497</v>
      </c>
      <c r="N54" s="466" t="s">
        <v>1719</v>
      </c>
      <c r="O54" s="455"/>
    </row>
    <row r="55" spans="1:26" ht="62.25" customHeight="1">
      <c r="A55" s="357">
        <v>5</v>
      </c>
      <c r="B55" s="332" t="s">
        <v>624</v>
      </c>
      <c r="C55" s="260" t="s">
        <v>1043</v>
      </c>
      <c r="D55" s="339">
        <v>14500</v>
      </c>
      <c r="E55" s="176"/>
      <c r="F55" s="201"/>
      <c r="G55" s="201"/>
      <c r="H55" s="176"/>
      <c r="I55" s="176"/>
      <c r="J55" s="176"/>
      <c r="K55" s="176">
        <v>2966</v>
      </c>
      <c r="L55" s="177"/>
      <c r="M55" s="178">
        <f t="shared" si="12"/>
        <v>2966</v>
      </c>
      <c r="N55" s="331" t="s">
        <v>1979</v>
      </c>
      <c r="O55" s="455"/>
    </row>
    <row r="56" spans="1:26" s="485" customFormat="1" ht="63" customHeight="1">
      <c r="A56" s="481"/>
      <c r="B56" s="482" t="s">
        <v>1915</v>
      </c>
      <c r="C56" s="483"/>
      <c r="D56" s="206">
        <f>D57</f>
        <v>40000</v>
      </c>
      <c r="E56" s="206">
        <f>E57</f>
        <v>40000</v>
      </c>
      <c r="F56" s="207"/>
      <c r="G56" s="208"/>
      <c r="H56" s="206">
        <f t="shared" ref="H56:L57" si="14">H57</f>
        <v>40000</v>
      </c>
      <c r="I56" s="206">
        <f t="shared" si="14"/>
        <v>904</v>
      </c>
      <c r="J56" s="206">
        <f t="shared" si="14"/>
        <v>300</v>
      </c>
      <c r="K56" s="206">
        <f t="shared" si="14"/>
        <v>0</v>
      </c>
      <c r="L56" s="209">
        <f t="shared" si="14"/>
        <v>406</v>
      </c>
      <c r="M56" s="178">
        <f t="shared" si="12"/>
        <v>498</v>
      </c>
      <c r="N56" s="484"/>
      <c r="O56" s="455"/>
    </row>
    <row r="57" spans="1:26" s="475" customFormat="1" ht="25.5" customHeight="1">
      <c r="A57" s="479" t="s">
        <v>96</v>
      </c>
      <c r="B57" s="486" t="s">
        <v>1914</v>
      </c>
      <c r="C57" s="473"/>
      <c r="D57" s="203">
        <f>D58</f>
        <v>40000</v>
      </c>
      <c r="E57" s="203">
        <f>E58</f>
        <v>40000</v>
      </c>
      <c r="F57" s="204"/>
      <c r="G57" s="210"/>
      <c r="H57" s="203">
        <f t="shared" si="14"/>
        <v>40000</v>
      </c>
      <c r="I57" s="203">
        <f t="shared" si="14"/>
        <v>904</v>
      </c>
      <c r="J57" s="203">
        <f t="shared" si="14"/>
        <v>300</v>
      </c>
      <c r="K57" s="203">
        <f t="shared" si="14"/>
        <v>0</v>
      </c>
      <c r="L57" s="205">
        <f t="shared" si="14"/>
        <v>406</v>
      </c>
      <c r="M57" s="178">
        <f t="shared" si="12"/>
        <v>498</v>
      </c>
      <c r="N57" s="474"/>
      <c r="O57" s="455"/>
    </row>
    <row r="58" spans="1:26" ht="83.25" customHeight="1">
      <c r="A58" s="357">
        <v>1</v>
      </c>
      <c r="B58" s="369" t="s">
        <v>1913</v>
      </c>
      <c r="C58" s="347" t="s">
        <v>1912</v>
      </c>
      <c r="D58" s="176">
        <v>40000</v>
      </c>
      <c r="E58" s="176">
        <v>40000</v>
      </c>
      <c r="F58" s="173" t="s">
        <v>1804</v>
      </c>
      <c r="G58" s="175" t="s">
        <v>1773</v>
      </c>
      <c r="H58" s="176">
        <v>40000</v>
      </c>
      <c r="I58" s="176">
        <v>904</v>
      </c>
      <c r="J58" s="176">
        <v>300</v>
      </c>
      <c r="K58" s="176"/>
      <c r="L58" s="177">
        <v>406</v>
      </c>
      <c r="M58" s="178">
        <f t="shared" si="12"/>
        <v>498</v>
      </c>
      <c r="N58" s="466" t="s">
        <v>1719</v>
      </c>
      <c r="O58" s="455"/>
    </row>
    <row r="59" spans="1:26" s="489" customFormat="1" ht="23.25" customHeight="1">
      <c r="A59" s="342" t="s">
        <v>1726</v>
      </c>
      <c r="B59" s="343" t="s">
        <v>403</v>
      </c>
      <c r="C59" s="344"/>
      <c r="D59" s="165">
        <f>SUM(D60:D65)</f>
        <v>74000</v>
      </c>
      <c r="E59" s="165">
        <f>SUM(E60:E65)</f>
        <v>74000</v>
      </c>
      <c r="F59" s="165"/>
      <c r="G59" s="165"/>
      <c r="H59" s="165">
        <f t="shared" ref="H59:M59" si="15">SUM(H60:H65)</f>
        <v>74000</v>
      </c>
      <c r="I59" s="165">
        <f t="shared" si="15"/>
        <v>9110</v>
      </c>
      <c r="J59" s="165">
        <f t="shared" si="15"/>
        <v>6710.1238389999999</v>
      </c>
      <c r="K59" s="165">
        <f t="shared" si="15"/>
        <v>0</v>
      </c>
      <c r="L59" s="166">
        <f t="shared" si="15"/>
        <v>2399</v>
      </c>
      <c r="M59" s="165">
        <f t="shared" si="15"/>
        <v>6711</v>
      </c>
      <c r="N59" s="461"/>
      <c r="O59" s="455"/>
      <c r="P59" s="487"/>
      <c r="Q59" s="487"/>
      <c r="R59" s="488"/>
      <c r="S59" s="488"/>
      <c r="T59" s="488"/>
      <c r="U59" s="488"/>
      <c r="V59" s="488"/>
      <c r="W59" s="488"/>
      <c r="X59" s="488"/>
      <c r="Y59" s="488"/>
      <c r="Z59" s="488"/>
    </row>
    <row r="60" spans="1:26" s="492" customFormat="1" ht="80.25" customHeight="1">
      <c r="A60" s="292">
        <v>1</v>
      </c>
      <c r="B60" s="316" t="s">
        <v>1346</v>
      </c>
      <c r="C60" s="274" t="s">
        <v>1911</v>
      </c>
      <c r="D60" s="168">
        <v>25000</v>
      </c>
      <c r="E60" s="168">
        <v>25000</v>
      </c>
      <c r="F60" s="167" t="s">
        <v>1910</v>
      </c>
      <c r="G60" s="211" t="s">
        <v>1773</v>
      </c>
      <c r="H60" s="178">
        <v>25000</v>
      </c>
      <c r="I60" s="178">
        <v>2177</v>
      </c>
      <c r="J60" s="178">
        <v>1140</v>
      </c>
      <c r="K60" s="160"/>
      <c r="L60" s="169">
        <v>1037</v>
      </c>
      <c r="M60" s="178">
        <f t="shared" ref="M60:M65" si="16">I60+K60-L60</f>
        <v>1140</v>
      </c>
      <c r="N60" s="490"/>
      <c r="O60" s="455"/>
      <c r="P60" s="491"/>
      <c r="Q60" s="491"/>
      <c r="R60" s="491"/>
      <c r="S60" s="491"/>
      <c r="T60" s="491"/>
      <c r="U60" s="491"/>
      <c r="V60" s="491"/>
      <c r="W60" s="491"/>
      <c r="X60" s="491"/>
      <c r="Y60" s="491"/>
      <c r="Z60" s="491"/>
    </row>
    <row r="61" spans="1:26" s="492" customFormat="1" ht="102" customHeight="1">
      <c r="A61" s="292">
        <v>3</v>
      </c>
      <c r="B61" s="316" t="s">
        <v>1909</v>
      </c>
      <c r="C61" s="274" t="s">
        <v>1908</v>
      </c>
      <c r="D61" s="168">
        <v>12000</v>
      </c>
      <c r="E61" s="168">
        <v>12000</v>
      </c>
      <c r="F61" s="167" t="s">
        <v>1774</v>
      </c>
      <c r="G61" s="211" t="s">
        <v>1773</v>
      </c>
      <c r="H61" s="178">
        <v>12000</v>
      </c>
      <c r="I61" s="178">
        <v>646</v>
      </c>
      <c r="J61" s="178">
        <v>48</v>
      </c>
      <c r="K61" s="160"/>
      <c r="L61" s="169">
        <v>598</v>
      </c>
      <c r="M61" s="178">
        <f t="shared" si="16"/>
        <v>48</v>
      </c>
      <c r="N61" s="493"/>
      <c r="O61" s="455"/>
      <c r="P61" s="491"/>
      <c r="Q61" s="491"/>
      <c r="R61" s="491"/>
      <c r="S61" s="491"/>
      <c r="T61" s="491"/>
      <c r="U61" s="491"/>
      <c r="V61" s="491"/>
      <c r="W61" s="491"/>
      <c r="X61" s="491"/>
      <c r="Y61" s="491"/>
      <c r="Z61" s="491"/>
    </row>
    <row r="62" spans="1:26" s="492" customFormat="1" ht="83.25" customHeight="1">
      <c r="A62" s="292">
        <v>8</v>
      </c>
      <c r="B62" s="316" t="s">
        <v>1907</v>
      </c>
      <c r="C62" s="274" t="s">
        <v>1365</v>
      </c>
      <c r="D62" s="168">
        <v>9000</v>
      </c>
      <c r="E62" s="168">
        <v>9000</v>
      </c>
      <c r="F62" s="167" t="s">
        <v>1905</v>
      </c>
      <c r="G62" s="211">
        <v>2024</v>
      </c>
      <c r="H62" s="178">
        <v>9000</v>
      </c>
      <c r="I62" s="178">
        <v>1000</v>
      </c>
      <c r="J62" s="178">
        <v>900</v>
      </c>
      <c r="K62" s="160"/>
      <c r="L62" s="169">
        <v>100</v>
      </c>
      <c r="M62" s="178">
        <f t="shared" si="16"/>
        <v>900</v>
      </c>
      <c r="N62" s="493"/>
      <c r="O62" s="455"/>
      <c r="P62" s="491"/>
      <c r="Q62" s="491"/>
      <c r="R62" s="491"/>
      <c r="S62" s="491"/>
      <c r="T62" s="491"/>
      <c r="U62" s="491"/>
      <c r="V62" s="491"/>
      <c r="W62" s="491"/>
      <c r="X62" s="491"/>
      <c r="Y62" s="491"/>
      <c r="Z62" s="491"/>
    </row>
    <row r="63" spans="1:26" s="492" customFormat="1" ht="66.75" customHeight="1">
      <c r="A63" s="292">
        <v>9</v>
      </c>
      <c r="B63" s="316" t="s">
        <v>1906</v>
      </c>
      <c r="C63" s="274" t="s">
        <v>1365</v>
      </c>
      <c r="D63" s="168">
        <v>12000</v>
      </c>
      <c r="E63" s="168">
        <v>12000</v>
      </c>
      <c r="F63" s="167" t="s">
        <v>1905</v>
      </c>
      <c r="G63" s="211">
        <v>2024</v>
      </c>
      <c r="H63" s="178">
        <v>12000</v>
      </c>
      <c r="I63" s="178">
        <v>4000</v>
      </c>
      <c r="J63" s="178">
        <f>+I63-L63</f>
        <v>3850</v>
      </c>
      <c r="K63" s="160"/>
      <c r="L63" s="169">
        <v>150</v>
      </c>
      <c r="M63" s="178">
        <f t="shared" si="16"/>
        <v>3850</v>
      </c>
      <c r="N63" s="493"/>
      <c r="O63" s="455"/>
      <c r="P63" s="491"/>
      <c r="Q63" s="491"/>
      <c r="R63" s="491"/>
      <c r="S63" s="491"/>
      <c r="T63" s="491"/>
      <c r="U63" s="491"/>
      <c r="V63" s="491"/>
      <c r="W63" s="491"/>
      <c r="X63" s="491"/>
      <c r="Y63" s="491"/>
      <c r="Z63" s="491"/>
    </row>
    <row r="64" spans="1:26" s="489" customFormat="1" ht="63.75" customHeight="1">
      <c r="A64" s="292">
        <v>10</v>
      </c>
      <c r="B64" s="348" t="s">
        <v>1904</v>
      </c>
      <c r="C64" s="274" t="s">
        <v>1365</v>
      </c>
      <c r="D64" s="168">
        <v>6000</v>
      </c>
      <c r="E64" s="168">
        <v>6000</v>
      </c>
      <c r="F64" s="167" t="s">
        <v>1755</v>
      </c>
      <c r="G64" s="167">
        <v>2024</v>
      </c>
      <c r="H64" s="178">
        <v>6000</v>
      </c>
      <c r="I64" s="178">
        <v>1000</v>
      </c>
      <c r="J64" s="178">
        <v>772.12383899999998</v>
      </c>
      <c r="K64" s="191"/>
      <c r="L64" s="179">
        <v>227</v>
      </c>
      <c r="M64" s="178">
        <f t="shared" si="16"/>
        <v>773</v>
      </c>
      <c r="N64" s="464"/>
      <c r="O64" s="455"/>
      <c r="P64" s="494"/>
      <c r="Q64" s="494"/>
      <c r="R64" s="494"/>
      <c r="S64" s="494"/>
      <c r="T64" s="494"/>
      <c r="U64" s="494"/>
      <c r="V64" s="494"/>
      <c r="W64" s="494"/>
      <c r="X64" s="494"/>
      <c r="Y64" s="494"/>
      <c r="Z64" s="494"/>
    </row>
    <row r="65" spans="1:19" s="477" customFormat="1" ht="69.75" customHeight="1">
      <c r="A65" s="292">
        <v>11</v>
      </c>
      <c r="B65" s="467" t="s">
        <v>1352</v>
      </c>
      <c r="C65" s="196" t="s">
        <v>1903</v>
      </c>
      <c r="D65" s="192">
        <v>10000</v>
      </c>
      <c r="E65" s="192">
        <v>10000</v>
      </c>
      <c r="F65" s="193" t="s">
        <v>1220</v>
      </c>
      <c r="G65" s="193" t="s">
        <v>1773</v>
      </c>
      <c r="H65" s="192">
        <v>10000</v>
      </c>
      <c r="I65" s="192">
        <v>287</v>
      </c>
      <c r="J65" s="192"/>
      <c r="K65" s="194"/>
      <c r="L65" s="212">
        <v>287</v>
      </c>
      <c r="M65" s="178">
        <f t="shared" si="16"/>
        <v>0</v>
      </c>
      <c r="N65" s="468"/>
      <c r="O65" s="455"/>
      <c r="P65" s="154"/>
      <c r="Q65" s="476"/>
    </row>
    <row r="66" spans="1:19" s="496" customFormat="1" ht="30.75" customHeight="1">
      <c r="A66" s="342" t="s">
        <v>1724</v>
      </c>
      <c r="B66" s="343" t="s">
        <v>402</v>
      </c>
      <c r="C66" s="344"/>
      <c r="D66" s="165">
        <f>SUM(D67:D71)</f>
        <v>60150</v>
      </c>
      <c r="E66" s="165">
        <f t="shared" ref="E66:M66" si="17">SUM(E67:E71)</f>
        <v>60150</v>
      </c>
      <c r="F66" s="165"/>
      <c r="G66" s="165"/>
      <c r="H66" s="165">
        <f t="shared" si="17"/>
        <v>43914.627119999997</v>
      </c>
      <c r="I66" s="165">
        <f t="shared" si="17"/>
        <v>496</v>
      </c>
      <c r="J66" s="165">
        <f t="shared" si="17"/>
        <v>0</v>
      </c>
      <c r="K66" s="165">
        <f t="shared" si="17"/>
        <v>16000</v>
      </c>
      <c r="L66" s="166">
        <f t="shared" si="17"/>
        <v>496</v>
      </c>
      <c r="M66" s="165">
        <f t="shared" si="17"/>
        <v>16000</v>
      </c>
      <c r="N66" s="329"/>
      <c r="O66" s="455"/>
      <c r="P66" s="495"/>
      <c r="Q66" s="495"/>
    </row>
    <row r="67" spans="1:19" s="491" customFormat="1" ht="51" customHeight="1">
      <c r="A67" s="304" t="s">
        <v>144</v>
      </c>
      <c r="B67" s="346" t="s">
        <v>1902</v>
      </c>
      <c r="C67" s="294" t="s">
        <v>1901</v>
      </c>
      <c r="D67" s="167">
        <v>8150</v>
      </c>
      <c r="E67" s="167">
        <v>8150</v>
      </c>
      <c r="F67" s="173" t="s">
        <v>1220</v>
      </c>
      <c r="G67" s="167">
        <v>2022</v>
      </c>
      <c r="H67" s="167">
        <f>7891.626195+I67</f>
        <v>8089.6261949999998</v>
      </c>
      <c r="I67" s="167">
        <v>198</v>
      </c>
      <c r="J67" s="178">
        <v>0</v>
      </c>
      <c r="K67" s="178">
        <v>0</v>
      </c>
      <c r="L67" s="214">
        <v>198</v>
      </c>
      <c r="M67" s="178">
        <f>I67+K67-L67</f>
        <v>0</v>
      </c>
      <c r="N67" s="493"/>
      <c r="O67" s="543"/>
    </row>
    <row r="68" spans="1:19" s="491" customFormat="1" ht="51" customHeight="1">
      <c r="A68" s="499">
        <v>2</v>
      </c>
      <c r="B68" s="346" t="s">
        <v>1900</v>
      </c>
      <c r="C68" s="294" t="s">
        <v>1899</v>
      </c>
      <c r="D68" s="167">
        <v>8800</v>
      </c>
      <c r="E68" s="167">
        <v>8800</v>
      </c>
      <c r="F68" s="173" t="s">
        <v>1220</v>
      </c>
      <c r="G68" s="167">
        <v>2022</v>
      </c>
      <c r="H68" s="167">
        <f>8686.788723+I68</f>
        <v>8799.7887229999997</v>
      </c>
      <c r="I68" s="167">
        <v>113</v>
      </c>
      <c r="J68" s="178">
        <v>0</v>
      </c>
      <c r="K68" s="178">
        <v>0</v>
      </c>
      <c r="L68" s="214">
        <v>113</v>
      </c>
      <c r="M68" s="178">
        <f>I68+K68-L68</f>
        <v>0</v>
      </c>
      <c r="N68" s="493"/>
      <c r="O68" s="543"/>
    </row>
    <row r="69" spans="1:19" s="491" customFormat="1" ht="51" customHeight="1">
      <c r="A69" s="304" t="s">
        <v>214</v>
      </c>
      <c r="B69" s="346" t="s">
        <v>1383</v>
      </c>
      <c r="C69" s="294" t="s">
        <v>1898</v>
      </c>
      <c r="D69" s="167">
        <v>14200</v>
      </c>
      <c r="E69" s="167">
        <v>14200</v>
      </c>
      <c r="F69" s="173" t="s">
        <v>1220</v>
      </c>
      <c r="G69" s="167">
        <v>2022</v>
      </c>
      <c r="H69" s="167">
        <f>13969.703757+I69</f>
        <v>14055.703756999999</v>
      </c>
      <c r="I69" s="167">
        <v>86</v>
      </c>
      <c r="J69" s="178">
        <v>0</v>
      </c>
      <c r="K69" s="178">
        <v>0</v>
      </c>
      <c r="L69" s="214">
        <v>86</v>
      </c>
      <c r="M69" s="178">
        <f>I69+K69-L69</f>
        <v>0</v>
      </c>
      <c r="N69" s="493"/>
      <c r="O69" s="543"/>
    </row>
    <row r="70" spans="1:19" s="491" customFormat="1" ht="51" customHeight="1">
      <c r="A70" s="499">
        <v>4</v>
      </c>
      <c r="B70" s="346" t="s">
        <v>1896</v>
      </c>
      <c r="C70" s="294" t="s">
        <v>1895</v>
      </c>
      <c r="D70" s="167">
        <v>13000</v>
      </c>
      <c r="E70" s="167">
        <v>13000</v>
      </c>
      <c r="F70" s="173" t="s">
        <v>1220</v>
      </c>
      <c r="G70" s="167">
        <v>2022</v>
      </c>
      <c r="H70" s="167">
        <f>12870.508445+I70</f>
        <v>12969.508444999999</v>
      </c>
      <c r="I70" s="167">
        <v>99</v>
      </c>
      <c r="J70" s="178">
        <v>0</v>
      </c>
      <c r="K70" s="178">
        <v>0</v>
      </c>
      <c r="L70" s="214">
        <v>99</v>
      </c>
      <c r="M70" s="178">
        <f>I70+K70-L70</f>
        <v>0</v>
      </c>
      <c r="N70" s="493"/>
      <c r="O70" s="543"/>
    </row>
    <row r="71" spans="1:19" s="497" customFormat="1" ht="51.75" customHeight="1">
      <c r="A71" s="347">
        <v>5</v>
      </c>
      <c r="B71" s="348" t="s">
        <v>1138</v>
      </c>
      <c r="C71" s="294" t="s">
        <v>1981</v>
      </c>
      <c r="D71" s="167">
        <v>16000</v>
      </c>
      <c r="E71" s="167">
        <v>16000</v>
      </c>
      <c r="F71" s="211" t="s">
        <v>1897</v>
      </c>
      <c r="G71" s="211">
        <v>2025</v>
      </c>
      <c r="H71" s="167">
        <v>0</v>
      </c>
      <c r="I71" s="167">
        <v>0</v>
      </c>
      <c r="J71" s="167"/>
      <c r="K71" s="167">
        <v>16000</v>
      </c>
      <c r="L71" s="214"/>
      <c r="M71" s="178">
        <f>I71+K71-L71</f>
        <v>16000</v>
      </c>
      <c r="N71" s="328"/>
      <c r="O71" s="543"/>
    </row>
    <row r="72" spans="1:19" s="496" customFormat="1" ht="15">
      <c r="A72" s="498" t="s">
        <v>1754</v>
      </c>
      <c r="B72" s="328" t="s">
        <v>225</v>
      </c>
      <c r="C72" s="301"/>
      <c r="D72" s="165">
        <f t="shared" ref="D72:M72" si="18">D73+D74</f>
        <v>76000</v>
      </c>
      <c r="E72" s="165">
        <f t="shared" si="18"/>
        <v>76000</v>
      </c>
      <c r="F72" s="165">
        <f t="shared" si="18"/>
        <v>0</v>
      </c>
      <c r="G72" s="165">
        <f t="shared" si="18"/>
        <v>0</v>
      </c>
      <c r="H72" s="165">
        <f t="shared" si="18"/>
        <v>74150</v>
      </c>
      <c r="I72" s="165">
        <f t="shared" si="18"/>
        <v>5745</v>
      </c>
      <c r="J72" s="165">
        <f t="shared" si="18"/>
        <v>0</v>
      </c>
      <c r="K72" s="165">
        <f t="shared" si="18"/>
        <v>0</v>
      </c>
      <c r="L72" s="166">
        <f t="shared" si="18"/>
        <v>4470</v>
      </c>
      <c r="M72" s="165">
        <f t="shared" si="18"/>
        <v>1275</v>
      </c>
      <c r="N72" s="329"/>
      <c r="O72" s="455"/>
    </row>
    <row r="73" spans="1:19" s="491" customFormat="1" ht="57.75" customHeight="1">
      <c r="A73" s="499">
        <v>3</v>
      </c>
      <c r="B73" s="346" t="s">
        <v>1291</v>
      </c>
      <c r="C73" s="294" t="s">
        <v>1894</v>
      </c>
      <c r="D73" s="167">
        <v>26000</v>
      </c>
      <c r="E73" s="167">
        <v>26000</v>
      </c>
      <c r="F73" s="173"/>
      <c r="G73" s="167"/>
      <c r="H73" s="167">
        <v>26000</v>
      </c>
      <c r="I73" s="167">
        <v>3710</v>
      </c>
      <c r="J73" s="213">
        <v>0</v>
      </c>
      <c r="K73" s="178"/>
      <c r="L73" s="214">
        <v>3470</v>
      </c>
      <c r="M73" s="178">
        <f>I73+K73-L73</f>
        <v>240</v>
      </c>
      <c r="N73" s="493" t="s">
        <v>1099</v>
      </c>
      <c r="O73" s="455"/>
    </row>
    <row r="74" spans="1:19" s="491" customFormat="1" ht="57.75" customHeight="1">
      <c r="A74" s="499">
        <v>4</v>
      </c>
      <c r="B74" s="346" t="s">
        <v>1293</v>
      </c>
      <c r="C74" s="294" t="s">
        <v>1893</v>
      </c>
      <c r="D74" s="167">
        <v>50000</v>
      </c>
      <c r="E74" s="167">
        <v>50000</v>
      </c>
      <c r="F74" s="173"/>
      <c r="G74" s="167"/>
      <c r="H74" s="167">
        <v>48150</v>
      </c>
      <c r="I74" s="167">
        <v>2035</v>
      </c>
      <c r="J74" s="178"/>
      <c r="K74" s="178"/>
      <c r="L74" s="214">
        <v>1000</v>
      </c>
      <c r="M74" s="178">
        <f>I74+K74-L74</f>
        <v>1035</v>
      </c>
      <c r="N74" s="493" t="s">
        <v>1099</v>
      </c>
      <c r="O74" s="455"/>
    </row>
    <row r="75" spans="1:19" s="500" customFormat="1" ht="15.75">
      <c r="A75" s="344" t="s">
        <v>1745</v>
      </c>
      <c r="B75" s="343" t="s">
        <v>404</v>
      </c>
      <c r="C75" s="301"/>
      <c r="D75" s="163">
        <f>SUM(D76:D80)</f>
        <v>98763</v>
      </c>
      <c r="E75" s="163">
        <f>SUM(E76:E80)</f>
        <v>98763</v>
      </c>
      <c r="F75" s="163"/>
      <c r="G75" s="163"/>
      <c r="H75" s="163">
        <f t="shared" ref="H75:N75" si="19">SUM(H76:H80)</f>
        <v>98763</v>
      </c>
      <c r="I75" s="163">
        <f t="shared" si="19"/>
        <v>4215</v>
      </c>
      <c r="J75" s="163">
        <f t="shared" si="19"/>
        <v>0</v>
      </c>
      <c r="K75" s="163">
        <f t="shared" si="19"/>
        <v>0</v>
      </c>
      <c r="L75" s="164">
        <f t="shared" si="19"/>
        <v>4215</v>
      </c>
      <c r="M75" s="163">
        <f t="shared" si="19"/>
        <v>0</v>
      </c>
      <c r="N75" s="215">
        <f t="shared" si="19"/>
        <v>0</v>
      </c>
      <c r="O75" s="455"/>
    </row>
    <row r="76" spans="1:19" s="500" customFormat="1" ht="62.25" customHeight="1">
      <c r="A76" s="347">
        <v>2</v>
      </c>
      <c r="B76" s="501" t="s">
        <v>1335</v>
      </c>
      <c r="C76" s="294" t="s">
        <v>1892</v>
      </c>
      <c r="D76" s="173">
        <v>20000</v>
      </c>
      <c r="E76" s="173">
        <v>20000</v>
      </c>
      <c r="F76" s="175" t="s">
        <v>1220</v>
      </c>
      <c r="G76" s="173">
        <v>2022</v>
      </c>
      <c r="H76" s="173">
        <v>20000</v>
      </c>
      <c r="I76" s="173">
        <v>387</v>
      </c>
      <c r="J76" s="173">
        <v>0</v>
      </c>
      <c r="K76" s="173">
        <v>0</v>
      </c>
      <c r="L76" s="174">
        <v>387</v>
      </c>
      <c r="M76" s="178">
        <f>I76+K76-L76</f>
        <v>0</v>
      </c>
      <c r="N76" s="347" t="s">
        <v>1735</v>
      </c>
      <c r="O76" s="455"/>
    </row>
    <row r="77" spans="1:19" s="500" customFormat="1" ht="62.25" customHeight="1">
      <c r="A77" s="347">
        <v>3</v>
      </c>
      <c r="B77" s="501" t="s">
        <v>1891</v>
      </c>
      <c r="C77" s="294" t="s">
        <v>1890</v>
      </c>
      <c r="D77" s="173">
        <v>30000</v>
      </c>
      <c r="E77" s="173">
        <v>30000</v>
      </c>
      <c r="F77" s="175" t="s">
        <v>1220</v>
      </c>
      <c r="G77" s="173">
        <v>2022</v>
      </c>
      <c r="H77" s="173">
        <v>30000</v>
      </c>
      <c r="I77" s="173">
        <v>786</v>
      </c>
      <c r="J77" s="173">
        <v>0</v>
      </c>
      <c r="K77" s="173">
        <v>0</v>
      </c>
      <c r="L77" s="174">
        <v>786</v>
      </c>
      <c r="M77" s="178">
        <f>I77+K77-L77</f>
        <v>0</v>
      </c>
      <c r="N77" s="347" t="s">
        <v>1735</v>
      </c>
      <c r="O77" s="455"/>
    </row>
    <row r="78" spans="1:19" s="500" customFormat="1" ht="30.75">
      <c r="A78" s="347">
        <v>4</v>
      </c>
      <c r="B78" s="501" t="s">
        <v>1339</v>
      </c>
      <c r="C78" s="294" t="s">
        <v>1889</v>
      </c>
      <c r="D78" s="173">
        <v>35000</v>
      </c>
      <c r="E78" s="173">
        <v>35000</v>
      </c>
      <c r="F78" s="175" t="s">
        <v>1220</v>
      </c>
      <c r="G78" s="173">
        <v>2022</v>
      </c>
      <c r="H78" s="173">
        <v>35000</v>
      </c>
      <c r="I78" s="173">
        <v>2359</v>
      </c>
      <c r="J78" s="173">
        <v>0</v>
      </c>
      <c r="K78" s="173">
        <v>0</v>
      </c>
      <c r="L78" s="174">
        <v>2359</v>
      </c>
      <c r="M78" s="178">
        <f>I78+K78-L78</f>
        <v>0</v>
      </c>
      <c r="N78" s="347" t="s">
        <v>1735</v>
      </c>
      <c r="O78" s="455"/>
    </row>
    <row r="79" spans="1:19" s="477" customFormat="1" ht="77.25" customHeight="1">
      <c r="A79" s="466">
        <v>2</v>
      </c>
      <c r="B79" s="467" t="s">
        <v>1343</v>
      </c>
      <c r="C79" s="196" t="s">
        <v>1888</v>
      </c>
      <c r="D79" s="192">
        <v>7763</v>
      </c>
      <c r="E79" s="192">
        <v>7763</v>
      </c>
      <c r="F79" s="193" t="s">
        <v>1220</v>
      </c>
      <c r="G79" s="193" t="s">
        <v>1773</v>
      </c>
      <c r="H79" s="192">
        <v>7763</v>
      </c>
      <c r="I79" s="192">
        <v>471</v>
      </c>
      <c r="J79" s="192"/>
      <c r="K79" s="194"/>
      <c r="L79" s="195">
        <v>471</v>
      </c>
      <c r="M79" s="194"/>
      <c r="N79" s="468"/>
      <c r="O79" s="455"/>
      <c r="P79" s="154"/>
      <c r="Q79" s="476"/>
      <c r="R79" s="477">
        <v>7257503523</v>
      </c>
      <c r="S79" s="476" t="e">
        <f>R79-#REF!</f>
        <v>#REF!</v>
      </c>
    </row>
    <row r="80" spans="1:19" ht="77.25" customHeight="1">
      <c r="A80" s="345">
        <v>1</v>
      </c>
      <c r="B80" s="348" t="s">
        <v>1887</v>
      </c>
      <c r="C80" s="347" t="s">
        <v>1886</v>
      </c>
      <c r="D80" s="167">
        <v>6000</v>
      </c>
      <c r="E80" s="167">
        <v>6000</v>
      </c>
      <c r="F80" s="167" t="s">
        <v>1885</v>
      </c>
      <c r="G80" s="167">
        <v>2022</v>
      </c>
      <c r="H80" s="178">
        <v>6000</v>
      </c>
      <c r="I80" s="178">
        <v>212</v>
      </c>
      <c r="J80" s="178">
        <v>0</v>
      </c>
      <c r="K80" s="178"/>
      <c r="L80" s="187">
        <f>I80</f>
        <v>212</v>
      </c>
      <c r="M80" s="178">
        <f>I80+K80-L80</f>
        <v>0</v>
      </c>
      <c r="N80" s="188"/>
      <c r="O80" s="455"/>
    </row>
    <row r="81" spans="1:16" s="456" customFormat="1" ht="23.25" customHeight="1">
      <c r="A81" s="342" t="s">
        <v>1744</v>
      </c>
      <c r="B81" s="343" t="s">
        <v>226</v>
      </c>
      <c r="C81" s="344"/>
      <c r="D81" s="165">
        <f>D82</f>
        <v>121000</v>
      </c>
      <c r="E81" s="165">
        <f>E82</f>
        <v>121000</v>
      </c>
      <c r="F81" s="165"/>
      <c r="G81" s="165"/>
      <c r="H81" s="165">
        <f t="shared" ref="H81:M81" si="20">H82</f>
        <v>121000</v>
      </c>
      <c r="I81" s="165">
        <f t="shared" si="20"/>
        <v>14468</v>
      </c>
      <c r="J81" s="165">
        <f t="shared" si="20"/>
        <v>810.678</v>
      </c>
      <c r="K81" s="165">
        <f t="shared" si="20"/>
        <v>0</v>
      </c>
      <c r="L81" s="166">
        <f t="shared" si="20"/>
        <v>2614</v>
      </c>
      <c r="M81" s="165">
        <f t="shared" si="20"/>
        <v>11854</v>
      </c>
      <c r="N81" s="327"/>
      <c r="O81" s="455"/>
    </row>
    <row r="82" spans="1:16" s="456" customFormat="1" ht="90.75" customHeight="1">
      <c r="A82" s="342" t="s">
        <v>587</v>
      </c>
      <c r="B82" s="343" t="s">
        <v>1884</v>
      </c>
      <c r="C82" s="344"/>
      <c r="D82" s="165">
        <f>SUM(D83:D85)</f>
        <v>121000</v>
      </c>
      <c r="E82" s="165">
        <f>SUM(E83:E85)</f>
        <v>121000</v>
      </c>
      <c r="F82" s="165">
        <f>SUM(F83:F85)</f>
        <v>0</v>
      </c>
      <c r="G82" s="165"/>
      <c r="H82" s="165">
        <f>SUM(H83:H85)</f>
        <v>121000</v>
      </c>
      <c r="I82" s="165">
        <f>SUM(I83:I85)</f>
        <v>14468</v>
      </c>
      <c r="J82" s="165">
        <f>SUM(J83:J85)</f>
        <v>810.678</v>
      </c>
      <c r="K82" s="165">
        <f>SUM(K83:K85)</f>
        <v>0</v>
      </c>
      <c r="L82" s="166">
        <f>SUM(L83:L85)</f>
        <v>2614</v>
      </c>
      <c r="M82" s="178">
        <f>I82+K82-L82</f>
        <v>11854</v>
      </c>
      <c r="N82" s="327"/>
      <c r="O82" s="455"/>
    </row>
    <row r="83" spans="1:16" ht="59.25" customHeight="1">
      <c r="A83" s="357">
        <v>1</v>
      </c>
      <c r="B83" s="502" t="s">
        <v>1376</v>
      </c>
      <c r="C83" s="503" t="s">
        <v>1883</v>
      </c>
      <c r="D83" s="211">
        <v>65000</v>
      </c>
      <c r="E83" s="173">
        <f>D83</f>
        <v>65000</v>
      </c>
      <c r="F83" s="173" t="s">
        <v>1882</v>
      </c>
      <c r="G83" s="173">
        <v>2022</v>
      </c>
      <c r="H83" s="178">
        <v>65000</v>
      </c>
      <c r="I83" s="178">
        <v>3233</v>
      </c>
      <c r="J83" s="178">
        <v>810.678</v>
      </c>
      <c r="K83" s="178"/>
      <c r="L83" s="187">
        <v>1465</v>
      </c>
      <c r="M83" s="178">
        <f>I83+K83-L83</f>
        <v>1768</v>
      </c>
      <c r="N83" s="357"/>
      <c r="O83" s="455"/>
    </row>
    <row r="84" spans="1:16" ht="59.25" customHeight="1">
      <c r="A84" s="357">
        <v>2</v>
      </c>
      <c r="B84" s="502" t="s">
        <v>1378</v>
      </c>
      <c r="C84" s="503" t="s">
        <v>1881</v>
      </c>
      <c r="D84" s="211">
        <v>26000</v>
      </c>
      <c r="E84" s="173">
        <f>D84</f>
        <v>26000</v>
      </c>
      <c r="F84" s="173" t="s">
        <v>1220</v>
      </c>
      <c r="G84" s="173" t="s">
        <v>1773</v>
      </c>
      <c r="H84" s="178">
        <f>E84</f>
        <v>26000</v>
      </c>
      <c r="I84" s="178">
        <v>1235</v>
      </c>
      <c r="J84" s="178"/>
      <c r="K84" s="178"/>
      <c r="L84" s="187">
        <f>I84-213</f>
        <v>1022</v>
      </c>
      <c r="M84" s="178">
        <f>I84+K84-L84</f>
        <v>213</v>
      </c>
      <c r="N84" s="357"/>
      <c r="O84" s="455"/>
    </row>
    <row r="85" spans="1:16" ht="59.25" customHeight="1">
      <c r="A85" s="357">
        <v>3</v>
      </c>
      <c r="B85" s="502" t="s">
        <v>1880</v>
      </c>
      <c r="C85" s="503" t="s">
        <v>1879</v>
      </c>
      <c r="D85" s="211">
        <v>30000</v>
      </c>
      <c r="E85" s="173">
        <f>D85</f>
        <v>30000</v>
      </c>
      <c r="F85" s="173" t="s">
        <v>1165</v>
      </c>
      <c r="G85" s="173" t="s">
        <v>1731</v>
      </c>
      <c r="H85" s="178">
        <f>E85</f>
        <v>30000</v>
      </c>
      <c r="I85" s="178">
        <v>10000</v>
      </c>
      <c r="J85" s="178"/>
      <c r="K85" s="178"/>
      <c r="L85" s="187">
        <v>127</v>
      </c>
      <c r="M85" s="178">
        <f>I85+K85-L85</f>
        <v>9873</v>
      </c>
      <c r="N85" s="357"/>
      <c r="O85" s="455"/>
    </row>
    <row r="86" spans="1:16" s="456" customFormat="1" ht="56.25" customHeight="1">
      <c r="A86" s="342" t="s">
        <v>34</v>
      </c>
      <c r="B86" s="343" t="s">
        <v>1393</v>
      </c>
      <c r="C86" s="344"/>
      <c r="D86" s="165">
        <f t="shared" ref="D86:M86" si="21">SUM(D87,D102,D134,D205,D236,D242,D246,D265)</f>
        <v>681076</v>
      </c>
      <c r="E86" s="165">
        <f t="shared" si="21"/>
        <v>668742</v>
      </c>
      <c r="F86" s="165">
        <f t="shared" si="21"/>
        <v>0</v>
      </c>
      <c r="G86" s="165">
        <f t="shared" si="21"/>
        <v>0</v>
      </c>
      <c r="H86" s="165">
        <f t="shared" si="21"/>
        <v>442499.82299999997</v>
      </c>
      <c r="I86" s="165">
        <f t="shared" si="21"/>
        <v>137901</v>
      </c>
      <c r="J86" s="165">
        <f t="shared" si="21"/>
        <v>121303.88235699999</v>
      </c>
      <c r="K86" s="165">
        <f t="shared" si="21"/>
        <v>9884.77</v>
      </c>
      <c r="L86" s="165">
        <f t="shared" si="21"/>
        <v>9884.875</v>
      </c>
      <c r="M86" s="165">
        <f t="shared" si="21"/>
        <v>137900.89500000002</v>
      </c>
      <c r="N86" s="454"/>
      <c r="O86" s="455"/>
      <c r="P86" s="455"/>
    </row>
    <row r="87" spans="1:16" s="506" customFormat="1" ht="30" customHeight="1">
      <c r="A87" s="342" t="s">
        <v>1732</v>
      </c>
      <c r="B87" s="343" t="s">
        <v>400</v>
      </c>
      <c r="C87" s="344"/>
      <c r="D87" s="165">
        <f t="shared" ref="D87:M87" si="22">D88+D91</f>
        <v>28618</v>
      </c>
      <c r="E87" s="165">
        <f t="shared" si="22"/>
        <v>28618</v>
      </c>
      <c r="F87" s="165">
        <f t="shared" si="22"/>
        <v>0</v>
      </c>
      <c r="G87" s="165">
        <f t="shared" si="22"/>
        <v>0</v>
      </c>
      <c r="H87" s="165">
        <f t="shared" si="22"/>
        <v>26833</v>
      </c>
      <c r="I87" s="165">
        <f t="shared" si="22"/>
        <v>1962</v>
      </c>
      <c r="J87" s="165">
        <f t="shared" si="22"/>
        <v>24871</v>
      </c>
      <c r="K87" s="165">
        <f t="shared" si="22"/>
        <v>1697.1640000000007</v>
      </c>
      <c r="L87" s="165">
        <f t="shared" si="22"/>
        <v>1962</v>
      </c>
      <c r="M87" s="165">
        <f t="shared" si="22"/>
        <v>1697.1640000000007</v>
      </c>
      <c r="N87" s="504"/>
      <c r="O87" s="455"/>
      <c r="P87" s="505"/>
    </row>
    <row r="88" spans="1:16" s="506" customFormat="1" ht="67.5" customHeight="1">
      <c r="A88" s="344" t="s">
        <v>587</v>
      </c>
      <c r="B88" s="328" t="s">
        <v>1792</v>
      </c>
      <c r="C88" s="344"/>
      <c r="D88" s="165">
        <f>D89+D90</f>
        <v>2773</v>
      </c>
      <c r="E88" s="165">
        <f>E89+E90</f>
        <v>2773</v>
      </c>
      <c r="F88" s="165"/>
      <c r="G88" s="165"/>
      <c r="H88" s="165">
        <f>H89+H90</f>
        <v>2287</v>
      </c>
      <c r="I88" s="165">
        <f>I89+I90</f>
        <v>1006</v>
      </c>
      <c r="J88" s="165">
        <f>J89+J90</f>
        <v>1281</v>
      </c>
      <c r="K88" s="165">
        <f>K89+K90</f>
        <v>528</v>
      </c>
      <c r="L88" s="165">
        <f>L89+L90</f>
        <v>1006</v>
      </c>
      <c r="M88" s="178">
        <f t="shared" ref="M88:M101" si="23">I88+K88-L88</f>
        <v>528</v>
      </c>
      <c r="N88" s="504"/>
      <c r="O88" s="455"/>
      <c r="P88" s="505"/>
    </row>
    <row r="89" spans="1:16" s="508" customFormat="1" ht="38.25" customHeight="1">
      <c r="A89" s="345">
        <v>1</v>
      </c>
      <c r="B89" s="346" t="s">
        <v>1878</v>
      </c>
      <c r="C89" s="347" t="s">
        <v>1877</v>
      </c>
      <c r="D89" s="167">
        <f>E89</f>
        <v>528</v>
      </c>
      <c r="E89" s="167">
        <v>528</v>
      </c>
      <c r="F89" s="167">
        <v>2025</v>
      </c>
      <c r="G89" s="167">
        <v>2025</v>
      </c>
      <c r="H89" s="167"/>
      <c r="I89" s="167"/>
      <c r="J89" s="167"/>
      <c r="K89" s="168">
        <v>528</v>
      </c>
      <c r="L89" s="168"/>
      <c r="M89" s="178">
        <f t="shared" si="23"/>
        <v>528</v>
      </c>
      <c r="N89" s="507"/>
      <c r="O89" s="455"/>
    </row>
    <row r="90" spans="1:16" s="508" customFormat="1" ht="46.15">
      <c r="A90" s="345">
        <v>2</v>
      </c>
      <c r="B90" s="346" t="s">
        <v>1876</v>
      </c>
      <c r="C90" s="347" t="s">
        <v>1875</v>
      </c>
      <c r="D90" s="167">
        <f>E90</f>
        <v>2245</v>
      </c>
      <c r="E90" s="167">
        <v>2245</v>
      </c>
      <c r="F90" s="211" t="s">
        <v>1874</v>
      </c>
      <c r="G90" s="167">
        <v>2023</v>
      </c>
      <c r="H90" s="167">
        <v>2287</v>
      </c>
      <c r="I90" s="167">
        <v>1006</v>
      </c>
      <c r="J90" s="167">
        <v>1281</v>
      </c>
      <c r="K90" s="168"/>
      <c r="L90" s="168">
        <v>1006</v>
      </c>
      <c r="M90" s="178">
        <f t="shared" si="23"/>
        <v>0</v>
      </c>
      <c r="N90" s="509" t="s">
        <v>1854</v>
      </c>
      <c r="O90" s="455"/>
    </row>
    <row r="91" spans="1:16" s="506" customFormat="1" ht="108.75" customHeight="1">
      <c r="A91" s="344" t="s">
        <v>587</v>
      </c>
      <c r="B91" s="328" t="s">
        <v>1873</v>
      </c>
      <c r="C91" s="344"/>
      <c r="D91" s="165">
        <f>SUM(D92:D101)</f>
        <v>25845</v>
      </c>
      <c r="E91" s="165">
        <f>SUM(E92:E101)</f>
        <v>25845</v>
      </c>
      <c r="F91" s="165"/>
      <c r="G91" s="165"/>
      <c r="H91" s="165">
        <f>SUM(H92:H101)</f>
        <v>24546</v>
      </c>
      <c r="I91" s="165">
        <f>SUM(I92:I101)</f>
        <v>956</v>
      </c>
      <c r="J91" s="165">
        <f>SUM(J92:J101)</f>
        <v>23590</v>
      </c>
      <c r="K91" s="165">
        <f>SUM(K92:K101)</f>
        <v>1169.1640000000007</v>
      </c>
      <c r="L91" s="165">
        <f>SUM(L92:L101)</f>
        <v>956</v>
      </c>
      <c r="M91" s="178">
        <f t="shared" si="23"/>
        <v>1169.1640000000007</v>
      </c>
      <c r="N91" s="504"/>
      <c r="O91" s="455"/>
    </row>
    <row r="92" spans="1:16" s="508" customFormat="1" ht="75" customHeight="1">
      <c r="A92" s="347">
        <v>1</v>
      </c>
      <c r="B92" s="346" t="s">
        <v>1872</v>
      </c>
      <c r="C92" s="347" t="s">
        <v>1871</v>
      </c>
      <c r="D92" s="167">
        <f t="shared" ref="D92:D101" si="24">E92</f>
        <v>2500</v>
      </c>
      <c r="E92" s="167">
        <v>2500</v>
      </c>
      <c r="F92" s="167">
        <v>2024</v>
      </c>
      <c r="G92" s="167">
        <v>2024</v>
      </c>
      <c r="H92" s="167">
        <v>2500</v>
      </c>
      <c r="I92" s="168">
        <v>240</v>
      </c>
      <c r="J92" s="167">
        <f t="shared" ref="J92:J100" si="25">H92-L92</f>
        <v>2260</v>
      </c>
      <c r="K92" s="168"/>
      <c r="L92" s="168">
        <v>240</v>
      </c>
      <c r="M92" s="178">
        <f t="shared" si="23"/>
        <v>0</v>
      </c>
      <c r="N92" s="509" t="s">
        <v>1854</v>
      </c>
      <c r="O92" s="455"/>
    </row>
    <row r="93" spans="1:16" s="508" customFormat="1" ht="75" customHeight="1">
      <c r="A93" s="347">
        <v>2</v>
      </c>
      <c r="B93" s="170" t="s">
        <v>1870</v>
      </c>
      <c r="C93" s="171" t="s">
        <v>1869</v>
      </c>
      <c r="D93" s="167">
        <f t="shared" si="24"/>
        <v>3500</v>
      </c>
      <c r="E93" s="167">
        <v>3500</v>
      </c>
      <c r="F93" s="167">
        <v>2024</v>
      </c>
      <c r="G93" s="167">
        <v>2024</v>
      </c>
      <c r="H93" s="167">
        <v>3500</v>
      </c>
      <c r="I93" s="168">
        <v>133</v>
      </c>
      <c r="J93" s="167">
        <f t="shared" si="25"/>
        <v>3367</v>
      </c>
      <c r="K93" s="168"/>
      <c r="L93" s="168">
        <v>133</v>
      </c>
      <c r="M93" s="178">
        <f t="shared" si="23"/>
        <v>0</v>
      </c>
      <c r="N93" s="509" t="s">
        <v>1854</v>
      </c>
      <c r="O93" s="455"/>
    </row>
    <row r="94" spans="1:16" s="508" customFormat="1" ht="75" customHeight="1">
      <c r="A94" s="347">
        <v>3</v>
      </c>
      <c r="B94" s="346" t="s">
        <v>1868</v>
      </c>
      <c r="C94" s="347" t="s">
        <v>1867</v>
      </c>
      <c r="D94" s="167">
        <f t="shared" si="24"/>
        <v>6500</v>
      </c>
      <c r="E94" s="167">
        <v>6500</v>
      </c>
      <c r="F94" s="167">
        <v>2024</v>
      </c>
      <c r="G94" s="167">
        <v>2024</v>
      </c>
      <c r="H94" s="167">
        <v>6500</v>
      </c>
      <c r="I94" s="168">
        <v>258</v>
      </c>
      <c r="J94" s="167">
        <f t="shared" si="25"/>
        <v>6242</v>
      </c>
      <c r="K94" s="168"/>
      <c r="L94" s="168">
        <v>258</v>
      </c>
      <c r="M94" s="178">
        <f t="shared" si="23"/>
        <v>0</v>
      </c>
      <c r="N94" s="509" t="s">
        <v>1854</v>
      </c>
      <c r="O94" s="455"/>
    </row>
    <row r="95" spans="1:16" s="508" customFormat="1" ht="75" customHeight="1">
      <c r="A95" s="347">
        <v>4</v>
      </c>
      <c r="B95" s="346" t="s">
        <v>1866</v>
      </c>
      <c r="C95" s="347" t="s">
        <v>1865</v>
      </c>
      <c r="D95" s="167">
        <f t="shared" si="24"/>
        <v>1395</v>
      </c>
      <c r="E95" s="167">
        <v>1395</v>
      </c>
      <c r="F95" s="167">
        <v>2024</v>
      </c>
      <c r="G95" s="167">
        <v>2024</v>
      </c>
      <c r="H95" s="167">
        <v>1396</v>
      </c>
      <c r="I95" s="168">
        <v>140</v>
      </c>
      <c r="J95" s="167">
        <f t="shared" si="25"/>
        <v>1256</v>
      </c>
      <c r="K95" s="168"/>
      <c r="L95" s="168">
        <v>140</v>
      </c>
      <c r="M95" s="178">
        <f t="shared" si="23"/>
        <v>0</v>
      </c>
      <c r="N95" s="509" t="s">
        <v>1854</v>
      </c>
      <c r="O95" s="455"/>
    </row>
    <row r="96" spans="1:16" s="508" customFormat="1" ht="72" customHeight="1">
      <c r="A96" s="347">
        <v>5</v>
      </c>
      <c r="B96" s="346" t="s">
        <v>1864</v>
      </c>
      <c r="C96" s="347" t="s">
        <v>1863</v>
      </c>
      <c r="D96" s="167">
        <f t="shared" si="24"/>
        <v>1500</v>
      </c>
      <c r="E96" s="167">
        <v>1500</v>
      </c>
      <c r="F96" s="167">
        <v>2024</v>
      </c>
      <c r="G96" s="167">
        <v>2024</v>
      </c>
      <c r="H96" s="167">
        <v>1500</v>
      </c>
      <c r="I96" s="168">
        <v>16</v>
      </c>
      <c r="J96" s="167">
        <f t="shared" si="25"/>
        <v>1484</v>
      </c>
      <c r="K96" s="168"/>
      <c r="L96" s="168">
        <v>16</v>
      </c>
      <c r="M96" s="178">
        <f t="shared" si="23"/>
        <v>0</v>
      </c>
      <c r="N96" s="509" t="s">
        <v>1854</v>
      </c>
      <c r="O96" s="455"/>
    </row>
    <row r="97" spans="1:15" s="508" customFormat="1" ht="59.25" customHeight="1">
      <c r="A97" s="347">
        <v>6</v>
      </c>
      <c r="B97" s="346" t="s">
        <v>1862</v>
      </c>
      <c r="C97" s="347" t="s">
        <v>1861</v>
      </c>
      <c r="D97" s="167">
        <f t="shared" si="24"/>
        <v>1000</v>
      </c>
      <c r="E97" s="167">
        <v>1000</v>
      </c>
      <c r="F97" s="167">
        <v>2024</v>
      </c>
      <c r="G97" s="167">
        <v>2024</v>
      </c>
      <c r="H97" s="167">
        <v>1000</v>
      </c>
      <c r="I97" s="168">
        <v>50</v>
      </c>
      <c r="J97" s="167">
        <f t="shared" si="25"/>
        <v>950</v>
      </c>
      <c r="K97" s="168"/>
      <c r="L97" s="168">
        <v>50</v>
      </c>
      <c r="M97" s="178">
        <f t="shared" si="23"/>
        <v>0</v>
      </c>
      <c r="N97" s="509" t="s">
        <v>1854</v>
      </c>
      <c r="O97" s="455"/>
    </row>
    <row r="98" spans="1:15" s="508" customFormat="1" ht="59.25" customHeight="1">
      <c r="A98" s="347">
        <v>7</v>
      </c>
      <c r="B98" s="346" t="s">
        <v>1860</v>
      </c>
      <c r="C98" s="347" t="s">
        <v>1859</v>
      </c>
      <c r="D98" s="167">
        <f t="shared" si="24"/>
        <v>4040</v>
      </c>
      <c r="E98" s="167">
        <v>4040</v>
      </c>
      <c r="F98" s="167">
        <v>2024</v>
      </c>
      <c r="G98" s="167">
        <v>2024</v>
      </c>
      <c r="H98" s="167">
        <v>4040</v>
      </c>
      <c r="I98" s="168">
        <v>40</v>
      </c>
      <c r="J98" s="167">
        <f t="shared" si="25"/>
        <v>4000</v>
      </c>
      <c r="K98" s="168"/>
      <c r="L98" s="168">
        <v>40</v>
      </c>
      <c r="M98" s="178">
        <f t="shared" si="23"/>
        <v>0</v>
      </c>
      <c r="N98" s="509" t="s">
        <v>1854</v>
      </c>
      <c r="O98" s="455"/>
    </row>
    <row r="99" spans="1:15" s="508" customFormat="1" ht="59.25" customHeight="1">
      <c r="A99" s="347">
        <v>8</v>
      </c>
      <c r="B99" s="346" t="s">
        <v>1858</v>
      </c>
      <c r="C99" s="347" t="s">
        <v>1857</v>
      </c>
      <c r="D99" s="167">
        <f t="shared" si="24"/>
        <v>1000</v>
      </c>
      <c r="E99" s="167">
        <v>1000</v>
      </c>
      <c r="F99" s="167">
        <v>2024</v>
      </c>
      <c r="G99" s="167">
        <v>2024</v>
      </c>
      <c r="H99" s="167">
        <v>1000</v>
      </c>
      <c r="I99" s="168">
        <v>50</v>
      </c>
      <c r="J99" s="167">
        <f t="shared" si="25"/>
        <v>950</v>
      </c>
      <c r="K99" s="168"/>
      <c r="L99" s="168">
        <v>50</v>
      </c>
      <c r="M99" s="178">
        <f t="shared" si="23"/>
        <v>0</v>
      </c>
      <c r="N99" s="509" t="s">
        <v>1854</v>
      </c>
      <c r="O99" s="455"/>
    </row>
    <row r="100" spans="1:15" s="508" customFormat="1" ht="59.25" customHeight="1">
      <c r="A100" s="347">
        <v>9</v>
      </c>
      <c r="B100" s="346" t="s">
        <v>1856</v>
      </c>
      <c r="C100" s="347" t="s">
        <v>1855</v>
      </c>
      <c r="D100" s="167">
        <f t="shared" si="24"/>
        <v>3110</v>
      </c>
      <c r="E100" s="167">
        <v>3110</v>
      </c>
      <c r="F100" s="167">
        <v>2024</v>
      </c>
      <c r="G100" s="167">
        <v>2024</v>
      </c>
      <c r="H100" s="167">
        <v>3110</v>
      </c>
      <c r="I100" s="168">
        <v>29</v>
      </c>
      <c r="J100" s="167">
        <f t="shared" si="25"/>
        <v>3081</v>
      </c>
      <c r="K100" s="168"/>
      <c r="L100" s="168">
        <v>29</v>
      </c>
      <c r="M100" s="178">
        <f t="shared" si="23"/>
        <v>0</v>
      </c>
      <c r="N100" s="509" t="s">
        <v>1854</v>
      </c>
      <c r="O100" s="455"/>
    </row>
    <row r="101" spans="1:15" s="508" customFormat="1" ht="63.75" customHeight="1">
      <c r="A101" s="347">
        <v>13</v>
      </c>
      <c r="B101" s="348" t="s">
        <v>1853</v>
      </c>
      <c r="C101" s="349" t="s">
        <v>1852</v>
      </c>
      <c r="D101" s="167">
        <f t="shared" si="24"/>
        <v>1300</v>
      </c>
      <c r="E101" s="167">
        <v>1300</v>
      </c>
      <c r="F101" s="167">
        <v>2025</v>
      </c>
      <c r="G101" s="167">
        <v>2025</v>
      </c>
      <c r="H101" s="167"/>
      <c r="I101" s="167"/>
      <c r="J101" s="167"/>
      <c r="K101" s="168">
        <v>1169.1640000000007</v>
      </c>
      <c r="L101" s="168"/>
      <c r="M101" s="178">
        <f t="shared" si="23"/>
        <v>1169.1640000000007</v>
      </c>
      <c r="N101" s="509" t="s">
        <v>1851</v>
      </c>
      <c r="O101" s="455"/>
    </row>
    <row r="102" spans="1:15" s="463" customFormat="1" ht="33.75" customHeight="1">
      <c r="A102" s="342" t="s">
        <v>1730</v>
      </c>
      <c r="B102" s="343" t="s">
        <v>243</v>
      </c>
      <c r="C102" s="344"/>
      <c r="D102" s="159">
        <f>SUM(D103:D133)</f>
        <v>196167</v>
      </c>
      <c r="E102" s="159">
        <f>SUM(E103:E133)</f>
        <v>196167</v>
      </c>
      <c r="F102" s="159"/>
      <c r="G102" s="159"/>
      <c r="H102" s="159"/>
      <c r="I102" s="159">
        <f t="shared" ref="I102:M102" si="26">SUM(I103:I133)</f>
        <v>78613</v>
      </c>
      <c r="J102" s="159">
        <f t="shared" si="26"/>
        <v>60630.023999999998</v>
      </c>
      <c r="K102" s="159">
        <f t="shared" si="26"/>
        <v>0</v>
      </c>
      <c r="L102" s="159">
        <f>SUM(L103:L133)</f>
        <v>2788</v>
      </c>
      <c r="M102" s="159">
        <f t="shared" si="26"/>
        <v>75825</v>
      </c>
      <c r="N102" s="461"/>
      <c r="O102" s="455"/>
    </row>
    <row r="103" spans="1:15" s="465" customFormat="1" ht="67.5" customHeight="1">
      <c r="A103" s="357">
        <v>1</v>
      </c>
      <c r="B103" s="369" t="s">
        <v>1850</v>
      </c>
      <c r="C103" s="347" t="s">
        <v>1408</v>
      </c>
      <c r="D103" s="167">
        <v>3050</v>
      </c>
      <c r="E103" s="167">
        <v>3050</v>
      </c>
      <c r="F103" s="167" t="s">
        <v>1209</v>
      </c>
      <c r="G103" s="167">
        <v>2024</v>
      </c>
      <c r="H103" s="167">
        <v>3050</v>
      </c>
      <c r="I103" s="178">
        <v>1050</v>
      </c>
      <c r="J103" s="178">
        <f>I103-117</f>
        <v>933</v>
      </c>
      <c r="K103" s="191"/>
      <c r="L103" s="178">
        <v>117</v>
      </c>
      <c r="M103" s="178">
        <f t="shared" ref="M103:M133" si="27">I103+K103-L103</f>
        <v>933</v>
      </c>
      <c r="N103" s="464"/>
      <c r="O103" s="455"/>
    </row>
    <row r="104" spans="1:15" s="465" customFormat="1" ht="67.5" customHeight="1">
      <c r="A104" s="357">
        <v>2</v>
      </c>
      <c r="B104" s="369" t="s">
        <v>1849</v>
      </c>
      <c r="C104" s="347" t="s">
        <v>1420</v>
      </c>
      <c r="D104" s="167">
        <v>6700</v>
      </c>
      <c r="E104" s="167">
        <v>6700</v>
      </c>
      <c r="F104" s="167" t="s">
        <v>1209</v>
      </c>
      <c r="G104" s="167">
        <v>2024</v>
      </c>
      <c r="H104" s="178">
        <v>6740</v>
      </c>
      <c r="I104" s="178">
        <v>3855</v>
      </c>
      <c r="J104" s="178">
        <f>I104-124</f>
        <v>3731</v>
      </c>
      <c r="K104" s="191"/>
      <c r="L104" s="178">
        <v>124</v>
      </c>
      <c r="M104" s="178">
        <f t="shared" si="27"/>
        <v>3731</v>
      </c>
      <c r="N104" s="464"/>
      <c r="O104" s="455"/>
    </row>
    <row r="105" spans="1:15" s="465" customFormat="1" ht="67.5" customHeight="1">
      <c r="A105" s="357">
        <v>3</v>
      </c>
      <c r="B105" s="369" t="s">
        <v>1848</v>
      </c>
      <c r="C105" s="347" t="s">
        <v>1418</v>
      </c>
      <c r="D105" s="167">
        <v>14000</v>
      </c>
      <c r="E105" s="167">
        <v>14000</v>
      </c>
      <c r="F105" s="167" t="s">
        <v>1725</v>
      </c>
      <c r="G105" s="167">
        <v>2023</v>
      </c>
      <c r="H105" s="167">
        <v>14000</v>
      </c>
      <c r="I105" s="178">
        <v>269</v>
      </c>
      <c r="J105" s="216" t="s">
        <v>1847</v>
      </c>
      <c r="K105" s="191"/>
      <c r="L105" s="178">
        <v>269</v>
      </c>
      <c r="M105" s="178">
        <f t="shared" si="27"/>
        <v>0</v>
      </c>
      <c r="N105" s="464"/>
      <c r="O105" s="455"/>
    </row>
    <row r="106" spans="1:15" s="465" customFormat="1" ht="72.75" customHeight="1">
      <c r="A106" s="357">
        <v>4</v>
      </c>
      <c r="B106" s="369" t="s">
        <v>1846</v>
      </c>
      <c r="C106" s="347" t="s">
        <v>1437</v>
      </c>
      <c r="D106" s="167">
        <v>2850</v>
      </c>
      <c r="E106" s="167">
        <v>2850</v>
      </c>
      <c r="F106" s="167" t="s">
        <v>1209</v>
      </c>
      <c r="G106" s="167">
        <v>2025</v>
      </c>
      <c r="H106" s="167">
        <v>2850</v>
      </c>
      <c r="I106" s="167">
        <v>2850</v>
      </c>
      <c r="J106" s="178">
        <v>964.72299999999996</v>
      </c>
      <c r="K106" s="191"/>
      <c r="L106" s="178">
        <v>52</v>
      </c>
      <c r="M106" s="178">
        <f t="shared" si="27"/>
        <v>2798</v>
      </c>
      <c r="N106" s="464"/>
      <c r="O106" s="455"/>
    </row>
    <row r="107" spans="1:15" s="465" customFormat="1" ht="72.75" customHeight="1">
      <c r="A107" s="357">
        <v>5</v>
      </c>
      <c r="B107" s="369" t="s">
        <v>1845</v>
      </c>
      <c r="C107" s="347" t="s">
        <v>1844</v>
      </c>
      <c r="D107" s="167">
        <v>1447</v>
      </c>
      <c r="E107" s="167">
        <v>1447</v>
      </c>
      <c r="F107" s="167" t="s">
        <v>1209</v>
      </c>
      <c r="G107" s="167">
        <v>2025</v>
      </c>
      <c r="H107" s="178">
        <f>$D$29</f>
        <v>8407</v>
      </c>
      <c r="I107" s="167">
        <v>1447</v>
      </c>
      <c r="J107" s="178">
        <v>448.79399999999998</v>
      </c>
      <c r="K107" s="191"/>
      <c r="L107" s="178">
        <v>85</v>
      </c>
      <c r="M107" s="178">
        <f t="shared" si="27"/>
        <v>1362</v>
      </c>
      <c r="N107" s="464"/>
      <c r="O107" s="455"/>
    </row>
    <row r="108" spans="1:15" s="465" customFormat="1" ht="72.75" customHeight="1">
      <c r="A108" s="357">
        <v>6</v>
      </c>
      <c r="B108" s="369" t="s">
        <v>1843</v>
      </c>
      <c r="C108" s="347" t="s">
        <v>1431</v>
      </c>
      <c r="D108" s="167">
        <v>1200</v>
      </c>
      <c r="E108" s="167">
        <v>1200</v>
      </c>
      <c r="F108" s="167" t="s">
        <v>1209</v>
      </c>
      <c r="G108" s="167">
        <v>2025</v>
      </c>
      <c r="H108" s="167">
        <v>1200</v>
      </c>
      <c r="I108" s="167">
        <v>1200</v>
      </c>
      <c r="J108" s="216">
        <v>349.50700000000001</v>
      </c>
      <c r="K108" s="191"/>
      <c r="L108" s="178">
        <v>15</v>
      </c>
      <c r="M108" s="178">
        <f t="shared" si="27"/>
        <v>1185</v>
      </c>
      <c r="N108" s="464"/>
      <c r="O108" s="455"/>
    </row>
    <row r="109" spans="1:15" s="465" customFormat="1" ht="62.25" customHeight="1">
      <c r="A109" s="357">
        <v>7</v>
      </c>
      <c r="B109" s="346" t="s">
        <v>1446</v>
      </c>
      <c r="C109" s="347" t="s">
        <v>1842</v>
      </c>
      <c r="D109" s="178">
        <v>14500</v>
      </c>
      <c r="E109" s="178">
        <v>14500</v>
      </c>
      <c r="F109" s="167" t="s">
        <v>1220</v>
      </c>
      <c r="G109" s="173">
        <v>2022</v>
      </c>
      <c r="H109" s="178">
        <v>14500</v>
      </c>
      <c r="I109" s="178"/>
      <c r="J109" s="178"/>
      <c r="K109" s="160"/>
      <c r="L109" s="160"/>
      <c r="M109" s="178">
        <f t="shared" si="27"/>
        <v>0</v>
      </c>
      <c r="N109" s="464"/>
      <c r="O109" s="455"/>
    </row>
    <row r="110" spans="1:15" s="465" customFormat="1" ht="63" customHeight="1">
      <c r="A110" s="357">
        <v>8</v>
      </c>
      <c r="B110" s="346" t="s">
        <v>1841</v>
      </c>
      <c r="C110" s="347" t="s">
        <v>1840</v>
      </c>
      <c r="D110" s="178">
        <v>14950</v>
      </c>
      <c r="E110" s="178">
        <v>14950</v>
      </c>
      <c r="F110" s="167" t="s">
        <v>1220</v>
      </c>
      <c r="G110" s="173">
        <v>2022</v>
      </c>
      <c r="H110" s="160">
        <v>14698</v>
      </c>
      <c r="I110" s="160"/>
      <c r="J110" s="160"/>
      <c r="K110" s="160"/>
      <c r="L110" s="160"/>
      <c r="M110" s="178">
        <f t="shared" si="27"/>
        <v>0</v>
      </c>
      <c r="N110" s="464"/>
      <c r="O110" s="455"/>
    </row>
    <row r="111" spans="1:15" s="465" customFormat="1" ht="72.75" customHeight="1">
      <c r="A111" s="357">
        <v>9</v>
      </c>
      <c r="B111" s="346" t="s">
        <v>1839</v>
      </c>
      <c r="C111" s="347" t="s">
        <v>1838</v>
      </c>
      <c r="D111" s="178">
        <v>20000</v>
      </c>
      <c r="E111" s="178">
        <v>20000</v>
      </c>
      <c r="F111" s="167" t="s">
        <v>1220</v>
      </c>
      <c r="G111" s="173">
        <v>2022</v>
      </c>
      <c r="H111" s="160">
        <v>19990</v>
      </c>
      <c r="I111" s="160"/>
      <c r="J111" s="160"/>
      <c r="K111" s="160"/>
      <c r="L111" s="160"/>
      <c r="M111" s="178">
        <f t="shared" si="27"/>
        <v>0</v>
      </c>
      <c r="N111" s="464"/>
      <c r="O111" s="455"/>
    </row>
    <row r="112" spans="1:15" s="465" customFormat="1" ht="65.25" customHeight="1">
      <c r="A112" s="357">
        <v>10</v>
      </c>
      <c r="B112" s="346" t="s">
        <v>1837</v>
      </c>
      <c r="C112" s="347" t="s">
        <v>1836</v>
      </c>
      <c r="D112" s="172">
        <v>4400</v>
      </c>
      <c r="E112" s="172">
        <v>4400</v>
      </c>
      <c r="F112" s="167" t="s">
        <v>1209</v>
      </c>
      <c r="G112" s="172" t="s">
        <v>1731</v>
      </c>
      <c r="H112" s="160">
        <v>4398</v>
      </c>
      <c r="I112" s="160"/>
      <c r="J112" s="160"/>
      <c r="K112" s="160"/>
      <c r="L112" s="160"/>
      <c r="M112" s="178">
        <f t="shared" si="27"/>
        <v>0</v>
      </c>
      <c r="N112" s="464"/>
      <c r="O112" s="455"/>
    </row>
    <row r="113" spans="1:15" s="465" customFormat="1" ht="72.75" customHeight="1">
      <c r="A113" s="357">
        <v>11</v>
      </c>
      <c r="B113" s="348" t="s">
        <v>1835</v>
      </c>
      <c r="C113" s="347" t="s">
        <v>1411</v>
      </c>
      <c r="D113" s="160">
        <v>6360</v>
      </c>
      <c r="E113" s="160">
        <v>6360</v>
      </c>
      <c r="F113" s="167" t="s">
        <v>1209</v>
      </c>
      <c r="G113" s="172" t="s">
        <v>1748</v>
      </c>
      <c r="H113" s="160">
        <v>6360</v>
      </c>
      <c r="I113" s="160">
        <v>3360</v>
      </c>
      <c r="J113" s="160">
        <f>3159+30</f>
        <v>3189</v>
      </c>
      <c r="K113" s="160"/>
      <c r="L113" s="160">
        <v>171</v>
      </c>
      <c r="M113" s="178">
        <f t="shared" si="27"/>
        <v>3189</v>
      </c>
      <c r="N113" s="464"/>
      <c r="O113" s="455"/>
    </row>
    <row r="114" spans="1:15" s="465" customFormat="1" ht="63" customHeight="1">
      <c r="A114" s="357">
        <v>12</v>
      </c>
      <c r="B114" s="348" t="s">
        <v>1413</v>
      </c>
      <c r="C114" s="347" t="s">
        <v>1414</v>
      </c>
      <c r="D114" s="160">
        <v>5670</v>
      </c>
      <c r="E114" s="160">
        <v>5670</v>
      </c>
      <c r="F114" s="167" t="s">
        <v>1209</v>
      </c>
      <c r="G114" s="172" t="s">
        <v>1748</v>
      </c>
      <c r="H114" s="160">
        <v>5670</v>
      </c>
      <c r="I114" s="160">
        <v>2670</v>
      </c>
      <c r="J114" s="160"/>
      <c r="K114" s="160"/>
      <c r="L114" s="160">
        <v>105</v>
      </c>
      <c r="M114" s="178">
        <f t="shared" si="27"/>
        <v>2565</v>
      </c>
      <c r="N114" s="464"/>
      <c r="O114" s="455"/>
    </row>
    <row r="115" spans="1:15" s="465" customFormat="1" ht="65.25" customHeight="1">
      <c r="A115" s="357">
        <v>13</v>
      </c>
      <c r="B115" s="348" t="s">
        <v>1834</v>
      </c>
      <c r="C115" s="347" t="s">
        <v>1423</v>
      </c>
      <c r="D115" s="172">
        <v>9585</v>
      </c>
      <c r="E115" s="172">
        <v>9585</v>
      </c>
      <c r="F115" s="167" t="s">
        <v>1209</v>
      </c>
      <c r="G115" s="172" t="s">
        <v>1748</v>
      </c>
      <c r="H115" s="160">
        <v>9585</v>
      </c>
      <c r="I115" s="160">
        <v>6585</v>
      </c>
      <c r="J115" s="160">
        <v>6335</v>
      </c>
      <c r="K115" s="160"/>
      <c r="L115" s="160">
        <v>250</v>
      </c>
      <c r="M115" s="178">
        <f t="shared" si="27"/>
        <v>6335</v>
      </c>
      <c r="N115" s="464"/>
      <c r="O115" s="455"/>
    </row>
    <row r="116" spans="1:15" s="465" customFormat="1" ht="66.75" customHeight="1">
      <c r="A116" s="357">
        <v>14</v>
      </c>
      <c r="B116" s="348" t="s">
        <v>1833</v>
      </c>
      <c r="C116" s="347" t="s">
        <v>1426</v>
      </c>
      <c r="D116" s="160">
        <v>4675</v>
      </c>
      <c r="E116" s="160">
        <v>4675</v>
      </c>
      <c r="F116" s="167" t="s">
        <v>1209</v>
      </c>
      <c r="G116" s="172" t="s">
        <v>1748</v>
      </c>
      <c r="H116" s="160">
        <v>4675</v>
      </c>
      <c r="I116" s="160">
        <v>2175</v>
      </c>
      <c r="J116" s="160">
        <f>I116-L116</f>
        <v>2073</v>
      </c>
      <c r="K116" s="160"/>
      <c r="L116" s="160">
        <v>102</v>
      </c>
      <c r="M116" s="178">
        <f t="shared" si="27"/>
        <v>2073</v>
      </c>
      <c r="N116" s="464"/>
      <c r="O116" s="455"/>
    </row>
    <row r="117" spans="1:15" s="465" customFormat="1" ht="65.25" customHeight="1">
      <c r="A117" s="357">
        <v>15</v>
      </c>
      <c r="B117" s="348" t="s">
        <v>1832</v>
      </c>
      <c r="C117" s="347" t="s">
        <v>1429</v>
      </c>
      <c r="D117" s="160">
        <v>4200</v>
      </c>
      <c r="E117" s="160">
        <v>4200</v>
      </c>
      <c r="F117" s="167" t="s">
        <v>1209</v>
      </c>
      <c r="G117" s="172" t="s">
        <v>1748</v>
      </c>
      <c r="H117" s="160">
        <v>4180</v>
      </c>
      <c r="I117" s="160">
        <v>2680</v>
      </c>
      <c r="J117" s="160">
        <v>2512</v>
      </c>
      <c r="K117" s="160"/>
      <c r="L117" s="160">
        <v>168</v>
      </c>
      <c r="M117" s="178">
        <f t="shared" si="27"/>
        <v>2512</v>
      </c>
      <c r="N117" s="464"/>
      <c r="O117" s="455"/>
    </row>
    <row r="118" spans="1:15" s="465" customFormat="1" ht="77.25" customHeight="1">
      <c r="A118" s="357">
        <v>16</v>
      </c>
      <c r="B118" s="348" t="s">
        <v>1831</v>
      </c>
      <c r="C118" s="347" t="s">
        <v>1433</v>
      </c>
      <c r="D118" s="160">
        <v>7400</v>
      </c>
      <c r="E118" s="160">
        <v>7400</v>
      </c>
      <c r="F118" s="167" t="s">
        <v>1209</v>
      </c>
      <c r="G118" s="172" t="s">
        <v>1748</v>
      </c>
      <c r="H118" s="160">
        <v>7425</v>
      </c>
      <c r="I118" s="160">
        <v>4425</v>
      </c>
      <c r="J118" s="160">
        <v>35</v>
      </c>
      <c r="K118" s="160"/>
      <c r="L118" s="160">
        <v>132</v>
      </c>
      <c r="M118" s="178">
        <f t="shared" si="27"/>
        <v>4293</v>
      </c>
      <c r="N118" s="464"/>
      <c r="O118" s="455"/>
    </row>
    <row r="119" spans="1:15" s="465" customFormat="1" ht="65.25" customHeight="1">
      <c r="A119" s="357">
        <v>17</v>
      </c>
      <c r="B119" s="348" t="s">
        <v>1830</v>
      </c>
      <c r="C119" s="347" t="s">
        <v>1440</v>
      </c>
      <c r="D119" s="160">
        <v>1019</v>
      </c>
      <c r="E119" s="160">
        <v>1019</v>
      </c>
      <c r="F119" s="167" t="s">
        <v>1209</v>
      </c>
      <c r="G119" s="172" t="s">
        <v>1748</v>
      </c>
      <c r="H119" s="160">
        <v>1019</v>
      </c>
      <c r="I119" s="160">
        <v>51</v>
      </c>
      <c r="J119" s="160">
        <v>21</v>
      </c>
      <c r="K119" s="160"/>
      <c r="L119" s="160">
        <v>30</v>
      </c>
      <c r="M119" s="178">
        <f t="shared" si="27"/>
        <v>21</v>
      </c>
      <c r="N119" s="464"/>
      <c r="O119" s="455"/>
    </row>
    <row r="120" spans="1:15" s="465" customFormat="1" ht="69" customHeight="1">
      <c r="A120" s="357">
        <v>18</v>
      </c>
      <c r="B120" s="348" t="s">
        <v>1441</v>
      </c>
      <c r="C120" s="347" t="s">
        <v>1442</v>
      </c>
      <c r="D120" s="160">
        <v>2475</v>
      </c>
      <c r="E120" s="160">
        <v>2475</v>
      </c>
      <c r="F120" s="167" t="s">
        <v>1209</v>
      </c>
      <c r="G120" s="172" t="s">
        <v>1748</v>
      </c>
      <c r="H120" s="160">
        <v>2475</v>
      </c>
      <c r="I120" s="160">
        <v>1475</v>
      </c>
      <c r="J120" s="160">
        <v>1386</v>
      </c>
      <c r="K120" s="160"/>
      <c r="L120" s="160">
        <v>89</v>
      </c>
      <c r="M120" s="178">
        <f t="shared" si="27"/>
        <v>1386</v>
      </c>
      <c r="N120" s="464"/>
      <c r="O120" s="455"/>
    </row>
    <row r="121" spans="1:15" s="465" customFormat="1" ht="66.75" customHeight="1">
      <c r="A121" s="357">
        <v>19</v>
      </c>
      <c r="B121" s="348" t="s">
        <v>1443</v>
      </c>
      <c r="C121" s="347" t="s">
        <v>1444</v>
      </c>
      <c r="D121" s="160">
        <v>1980</v>
      </c>
      <c r="E121" s="160">
        <v>1980</v>
      </c>
      <c r="F121" s="167" t="s">
        <v>1209</v>
      </c>
      <c r="G121" s="172" t="s">
        <v>1748</v>
      </c>
      <c r="H121" s="160">
        <v>1980</v>
      </c>
      <c r="I121" s="160">
        <v>40</v>
      </c>
      <c r="J121" s="160"/>
      <c r="K121" s="160"/>
      <c r="L121" s="160">
        <v>40</v>
      </c>
      <c r="M121" s="178">
        <f t="shared" si="27"/>
        <v>0</v>
      </c>
      <c r="N121" s="464"/>
      <c r="O121" s="455"/>
    </row>
    <row r="122" spans="1:15" s="465" customFormat="1" ht="59.25" customHeight="1">
      <c r="A122" s="357">
        <v>20</v>
      </c>
      <c r="B122" s="348" t="s">
        <v>1829</v>
      </c>
      <c r="C122" s="347" t="s">
        <v>1450</v>
      </c>
      <c r="D122" s="160">
        <v>1000</v>
      </c>
      <c r="E122" s="160">
        <v>1000</v>
      </c>
      <c r="F122" s="167" t="s">
        <v>1209</v>
      </c>
      <c r="G122" s="172" t="s">
        <v>1748</v>
      </c>
      <c r="H122" s="160">
        <v>1000</v>
      </c>
      <c r="I122" s="160">
        <v>50</v>
      </c>
      <c r="J122" s="160">
        <v>28</v>
      </c>
      <c r="K122" s="160"/>
      <c r="L122" s="160">
        <v>22</v>
      </c>
      <c r="M122" s="178">
        <f t="shared" si="27"/>
        <v>28</v>
      </c>
      <c r="N122" s="464"/>
      <c r="O122" s="455"/>
    </row>
    <row r="123" spans="1:15" s="465" customFormat="1" ht="69" customHeight="1">
      <c r="A123" s="357">
        <v>21</v>
      </c>
      <c r="B123" s="348" t="s">
        <v>1828</v>
      </c>
      <c r="C123" s="347" t="s">
        <v>1465</v>
      </c>
      <c r="D123" s="160">
        <v>6500</v>
      </c>
      <c r="E123" s="160">
        <v>6500</v>
      </c>
      <c r="F123" s="167" t="s">
        <v>1209</v>
      </c>
      <c r="G123" s="172" t="s">
        <v>1748</v>
      </c>
      <c r="H123" s="160">
        <v>6500</v>
      </c>
      <c r="I123" s="160">
        <v>4500</v>
      </c>
      <c r="J123" s="160">
        <v>4353</v>
      </c>
      <c r="K123" s="160"/>
      <c r="L123" s="160">
        <v>147</v>
      </c>
      <c r="M123" s="178">
        <f t="shared" si="27"/>
        <v>4353</v>
      </c>
      <c r="N123" s="464"/>
      <c r="O123" s="455"/>
    </row>
    <row r="124" spans="1:15" s="465" customFormat="1" ht="69" customHeight="1">
      <c r="A124" s="357">
        <v>22</v>
      </c>
      <c r="B124" s="348" t="s">
        <v>1827</v>
      </c>
      <c r="C124" s="347" t="s">
        <v>1416</v>
      </c>
      <c r="D124" s="160">
        <v>4860</v>
      </c>
      <c r="E124" s="160">
        <v>4860</v>
      </c>
      <c r="F124" s="167" t="s">
        <v>1209</v>
      </c>
      <c r="G124" s="172" t="s">
        <v>1748</v>
      </c>
      <c r="H124" s="160">
        <v>4860</v>
      </c>
      <c r="I124" s="160">
        <v>3360</v>
      </c>
      <c r="J124" s="160">
        <f>3250+70</f>
        <v>3320</v>
      </c>
      <c r="K124" s="160"/>
      <c r="L124" s="160">
        <v>40</v>
      </c>
      <c r="M124" s="178">
        <f t="shared" si="27"/>
        <v>3320</v>
      </c>
      <c r="N124" s="464"/>
      <c r="O124" s="455"/>
    </row>
    <row r="125" spans="1:15" s="465" customFormat="1" ht="69" customHeight="1">
      <c r="A125" s="357">
        <v>23</v>
      </c>
      <c r="B125" s="348" t="s">
        <v>1826</v>
      </c>
      <c r="C125" s="347" t="s">
        <v>1435</v>
      </c>
      <c r="D125" s="160">
        <v>5546</v>
      </c>
      <c r="E125" s="160">
        <v>5546</v>
      </c>
      <c r="F125" s="167" t="s">
        <v>1209</v>
      </c>
      <c r="G125" s="172" t="s">
        <v>1748</v>
      </c>
      <c r="H125" s="160">
        <v>5546</v>
      </c>
      <c r="I125" s="160">
        <v>2546</v>
      </c>
      <c r="J125" s="160">
        <f>2427+87</f>
        <v>2514</v>
      </c>
      <c r="K125" s="160"/>
      <c r="L125" s="160">
        <v>32</v>
      </c>
      <c r="M125" s="178">
        <f t="shared" si="27"/>
        <v>2514</v>
      </c>
      <c r="N125" s="464"/>
      <c r="O125" s="455"/>
    </row>
    <row r="126" spans="1:15" s="465" customFormat="1" ht="69" customHeight="1">
      <c r="A126" s="357">
        <v>24</v>
      </c>
      <c r="B126" s="348" t="s">
        <v>1825</v>
      </c>
      <c r="C126" s="347" t="s">
        <v>1453</v>
      </c>
      <c r="D126" s="160">
        <v>5000</v>
      </c>
      <c r="E126" s="160">
        <v>5000</v>
      </c>
      <c r="F126" s="167" t="s">
        <v>1209</v>
      </c>
      <c r="G126" s="172" t="s">
        <v>1748</v>
      </c>
      <c r="H126" s="160">
        <v>5000</v>
      </c>
      <c r="I126" s="160">
        <v>3000</v>
      </c>
      <c r="J126" s="160">
        <v>2884</v>
      </c>
      <c r="K126" s="160"/>
      <c r="L126" s="160">
        <v>116</v>
      </c>
      <c r="M126" s="178">
        <f t="shared" si="27"/>
        <v>2884</v>
      </c>
      <c r="N126" s="464"/>
      <c r="O126" s="455"/>
    </row>
    <row r="127" spans="1:15" s="465" customFormat="1" ht="61.5" customHeight="1">
      <c r="A127" s="357">
        <v>25</v>
      </c>
      <c r="B127" s="348" t="s">
        <v>1824</v>
      </c>
      <c r="C127" s="347" t="s">
        <v>1455</v>
      </c>
      <c r="D127" s="160">
        <v>5000</v>
      </c>
      <c r="E127" s="160">
        <v>5000</v>
      </c>
      <c r="F127" s="167" t="s">
        <v>1209</v>
      </c>
      <c r="G127" s="172" t="s">
        <v>1748</v>
      </c>
      <c r="H127" s="160">
        <v>5000</v>
      </c>
      <c r="I127" s="160">
        <v>3500</v>
      </c>
      <c r="J127" s="160">
        <v>3389</v>
      </c>
      <c r="K127" s="160"/>
      <c r="L127" s="160">
        <v>111</v>
      </c>
      <c r="M127" s="178">
        <f t="shared" si="27"/>
        <v>3389</v>
      </c>
      <c r="N127" s="464"/>
      <c r="O127" s="455"/>
    </row>
    <row r="128" spans="1:15" s="465" customFormat="1" ht="61.5" customHeight="1">
      <c r="A128" s="357">
        <v>26</v>
      </c>
      <c r="B128" s="348" t="s">
        <v>1823</v>
      </c>
      <c r="C128" s="347" t="s">
        <v>1457</v>
      </c>
      <c r="D128" s="160">
        <v>8000</v>
      </c>
      <c r="E128" s="160">
        <v>8000</v>
      </c>
      <c r="F128" s="167" t="s">
        <v>1209</v>
      </c>
      <c r="G128" s="172" t="s">
        <v>1748</v>
      </c>
      <c r="H128" s="160">
        <v>8000</v>
      </c>
      <c r="I128" s="160">
        <v>5000</v>
      </c>
      <c r="J128" s="160">
        <v>90</v>
      </c>
      <c r="K128" s="160"/>
      <c r="L128" s="160">
        <v>120</v>
      </c>
      <c r="M128" s="178">
        <f t="shared" si="27"/>
        <v>4880</v>
      </c>
      <c r="N128" s="464"/>
      <c r="O128" s="455"/>
    </row>
    <row r="129" spans="1:15" s="465" customFormat="1" ht="61.5" customHeight="1">
      <c r="A129" s="357">
        <v>27</v>
      </c>
      <c r="B129" s="348" t="s">
        <v>1822</v>
      </c>
      <c r="C129" s="347" t="s">
        <v>1459</v>
      </c>
      <c r="D129" s="160">
        <v>6300</v>
      </c>
      <c r="E129" s="160">
        <v>6300</v>
      </c>
      <c r="F129" s="167" t="s">
        <v>1209</v>
      </c>
      <c r="G129" s="172" t="s">
        <v>1748</v>
      </c>
      <c r="H129" s="160">
        <v>6300</v>
      </c>
      <c r="I129" s="160">
        <v>4300</v>
      </c>
      <c r="J129" s="160">
        <f>I129-L129</f>
        <v>4250</v>
      </c>
      <c r="K129" s="160"/>
      <c r="L129" s="160">
        <v>50</v>
      </c>
      <c r="M129" s="178">
        <f t="shared" si="27"/>
        <v>4250</v>
      </c>
      <c r="N129" s="464"/>
      <c r="O129" s="455"/>
    </row>
    <row r="130" spans="1:15" s="465" customFormat="1" ht="61.5" customHeight="1">
      <c r="A130" s="357">
        <v>28</v>
      </c>
      <c r="B130" s="348" t="s">
        <v>1821</v>
      </c>
      <c r="C130" s="347" t="s">
        <v>1461</v>
      </c>
      <c r="D130" s="160">
        <v>6000</v>
      </c>
      <c r="E130" s="160">
        <v>6000</v>
      </c>
      <c r="F130" s="167" t="s">
        <v>1209</v>
      </c>
      <c r="G130" s="172" t="s">
        <v>1748</v>
      </c>
      <c r="H130" s="160">
        <v>6000</v>
      </c>
      <c r="I130" s="160">
        <v>4000</v>
      </c>
      <c r="J130" s="160">
        <v>3920</v>
      </c>
      <c r="K130" s="160"/>
      <c r="L130" s="160">
        <v>80</v>
      </c>
      <c r="M130" s="178">
        <f t="shared" si="27"/>
        <v>3920</v>
      </c>
      <c r="N130" s="464"/>
      <c r="O130" s="455"/>
    </row>
    <row r="131" spans="1:15" s="465" customFormat="1" ht="61.5" customHeight="1">
      <c r="A131" s="357">
        <v>29</v>
      </c>
      <c r="B131" s="348" t="s">
        <v>1820</v>
      </c>
      <c r="C131" s="347" t="s">
        <v>1463</v>
      </c>
      <c r="D131" s="160">
        <v>6000</v>
      </c>
      <c r="E131" s="160">
        <v>6000</v>
      </c>
      <c r="F131" s="167" t="s">
        <v>1209</v>
      </c>
      <c r="G131" s="172" t="s">
        <v>1748</v>
      </c>
      <c r="H131" s="160">
        <v>6000</v>
      </c>
      <c r="I131" s="160">
        <v>4000</v>
      </c>
      <c r="J131" s="160">
        <v>3980</v>
      </c>
      <c r="K131" s="160"/>
      <c r="L131" s="160">
        <v>20</v>
      </c>
      <c r="M131" s="178">
        <f t="shared" si="27"/>
        <v>3980</v>
      </c>
      <c r="N131" s="464"/>
      <c r="O131" s="455"/>
    </row>
    <row r="132" spans="1:15" s="465" customFormat="1" ht="61.5" customHeight="1">
      <c r="A132" s="357">
        <v>30</v>
      </c>
      <c r="B132" s="348" t="s">
        <v>1819</v>
      </c>
      <c r="C132" s="347" t="s">
        <v>1467</v>
      </c>
      <c r="D132" s="160">
        <v>7000</v>
      </c>
      <c r="E132" s="160">
        <v>7000</v>
      </c>
      <c r="F132" s="167" t="s">
        <v>1209</v>
      </c>
      <c r="G132" s="172" t="s">
        <v>1748</v>
      </c>
      <c r="H132" s="160">
        <v>7000</v>
      </c>
      <c r="I132" s="160">
        <v>3725</v>
      </c>
      <c r="J132" s="160">
        <f>I132-L132</f>
        <v>3640</v>
      </c>
      <c r="K132" s="160"/>
      <c r="L132" s="160">
        <v>85</v>
      </c>
      <c r="M132" s="178">
        <f t="shared" si="27"/>
        <v>3640</v>
      </c>
      <c r="N132" s="464"/>
      <c r="O132" s="455"/>
    </row>
    <row r="133" spans="1:15" s="465" customFormat="1" ht="61.5" customHeight="1">
      <c r="A133" s="357">
        <v>31</v>
      </c>
      <c r="B133" s="348" t="s">
        <v>1818</v>
      </c>
      <c r="C133" s="347" t="s">
        <v>1469</v>
      </c>
      <c r="D133" s="160">
        <v>8500</v>
      </c>
      <c r="E133" s="160">
        <v>8500</v>
      </c>
      <c r="F133" s="167" t="s">
        <v>1209</v>
      </c>
      <c r="G133" s="172" t="s">
        <v>1748</v>
      </c>
      <c r="H133" s="160">
        <v>8500</v>
      </c>
      <c r="I133" s="160">
        <v>6500</v>
      </c>
      <c r="J133" s="160">
        <v>6284</v>
      </c>
      <c r="K133" s="160"/>
      <c r="L133" s="160">
        <v>216</v>
      </c>
      <c r="M133" s="178">
        <f t="shared" si="27"/>
        <v>6284</v>
      </c>
      <c r="N133" s="464"/>
      <c r="O133" s="455"/>
    </row>
    <row r="134" spans="1:15" ht="21" customHeight="1">
      <c r="A134" s="481" t="s">
        <v>1726</v>
      </c>
      <c r="B134" s="510" t="s">
        <v>401</v>
      </c>
      <c r="C134" s="483"/>
      <c r="D134" s="217">
        <f>D135+D141+D194</f>
        <v>153701</v>
      </c>
      <c r="E134" s="217">
        <f>E135+E141+E194</f>
        <v>153701</v>
      </c>
      <c r="F134" s="217"/>
      <c r="G134" s="217"/>
      <c r="H134" s="217">
        <f t="shared" ref="H134:M134" si="28">H135+H141+H194</f>
        <v>151872.823</v>
      </c>
      <c r="I134" s="217">
        <f t="shared" si="28"/>
        <v>17258</v>
      </c>
      <c r="J134" s="217">
        <f t="shared" si="28"/>
        <v>15095.063999999998</v>
      </c>
      <c r="K134" s="217">
        <f t="shared" si="28"/>
        <v>748.60599999999999</v>
      </c>
      <c r="L134" s="218">
        <f>L135+L141+L194</f>
        <v>1469.5920000000001</v>
      </c>
      <c r="M134" s="217">
        <f t="shared" si="28"/>
        <v>16537.013999999999</v>
      </c>
      <c r="N134" s="484"/>
      <c r="O134" s="455"/>
    </row>
    <row r="135" spans="1:15" ht="66" customHeight="1">
      <c r="A135" s="357"/>
      <c r="B135" s="341" t="s">
        <v>1396</v>
      </c>
      <c r="C135" s="483"/>
      <c r="D135" s="217">
        <f>D136</f>
        <v>13264</v>
      </c>
      <c r="E135" s="217">
        <f>E136</f>
        <v>13264</v>
      </c>
      <c r="F135" s="217"/>
      <c r="G135" s="217"/>
      <c r="H135" s="217">
        <f>H136</f>
        <v>12919</v>
      </c>
      <c r="I135" s="217">
        <f>I136</f>
        <v>141</v>
      </c>
      <c r="J135" s="217">
        <f>J136</f>
        <v>80.871000000000009</v>
      </c>
      <c r="K135" s="217">
        <f>K136</f>
        <v>1.845</v>
      </c>
      <c r="L135" s="218">
        <f>L136</f>
        <v>60</v>
      </c>
      <c r="M135" s="178">
        <f t="shared" ref="M135:M166" si="29">I135+K135-L135</f>
        <v>82.844999999999999</v>
      </c>
      <c r="N135" s="458"/>
      <c r="O135" s="455"/>
    </row>
    <row r="136" spans="1:15" ht="32.25" customHeight="1">
      <c r="A136" s="304" t="s">
        <v>587</v>
      </c>
      <c r="B136" s="341" t="s">
        <v>1397</v>
      </c>
      <c r="C136" s="483"/>
      <c r="D136" s="217">
        <f>SUM(D137:D140)</f>
        <v>13264</v>
      </c>
      <c r="E136" s="217">
        <f>SUM(E137:E140)</f>
        <v>13264</v>
      </c>
      <c r="F136" s="217"/>
      <c r="G136" s="217"/>
      <c r="H136" s="217">
        <f>SUM(H137:H140)</f>
        <v>12919</v>
      </c>
      <c r="I136" s="217">
        <f>SUM(I137:I140)</f>
        <v>141</v>
      </c>
      <c r="J136" s="217">
        <f>SUM(J137:J140)</f>
        <v>80.871000000000009</v>
      </c>
      <c r="K136" s="217">
        <f>SUM(K137:K140)</f>
        <v>1.845</v>
      </c>
      <c r="L136" s="218">
        <f>SUM(L137:L140)</f>
        <v>60</v>
      </c>
      <c r="M136" s="178">
        <f t="shared" si="29"/>
        <v>82.844999999999999</v>
      </c>
      <c r="N136" s="458"/>
      <c r="O136" s="455"/>
    </row>
    <row r="137" spans="1:15" ht="75.75" customHeight="1">
      <c r="A137" s="357">
        <v>1</v>
      </c>
      <c r="B137" s="467" t="s">
        <v>1475</v>
      </c>
      <c r="C137" s="347" t="s">
        <v>1817</v>
      </c>
      <c r="D137" s="176">
        <v>6000</v>
      </c>
      <c r="E137" s="176">
        <v>6000</v>
      </c>
      <c r="F137" s="201" t="s">
        <v>1796</v>
      </c>
      <c r="G137" s="201">
        <v>2023</v>
      </c>
      <c r="H137" s="176">
        <v>5911</v>
      </c>
      <c r="I137" s="176">
        <v>1</v>
      </c>
      <c r="J137" s="176">
        <v>1</v>
      </c>
      <c r="K137" s="176">
        <v>1.5620000000000001</v>
      </c>
      <c r="L137" s="177"/>
      <c r="M137" s="178">
        <f t="shared" si="29"/>
        <v>2.5620000000000003</v>
      </c>
      <c r="N137" s="466" t="s">
        <v>1479</v>
      </c>
      <c r="O137" s="455"/>
    </row>
    <row r="138" spans="1:15" ht="77.25" customHeight="1">
      <c r="A138" s="357">
        <v>2</v>
      </c>
      <c r="B138" s="467" t="s">
        <v>1477</v>
      </c>
      <c r="C138" s="347" t="s">
        <v>1816</v>
      </c>
      <c r="D138" s="176">
        <v>4464</v>
      </c>
      <c r="E138" s="176">
        <v>4464</v>
      </c>
      <c r="F138" s="201" t="s">
        <v>1796</v>
      </c>
      <c r="G138" s="201">
        <v>2023</v>
      </c>
      <c r="H138" s="176">
        <v>4208</v>
      </c>
      <c r="I138" s="176">
        <v>0</v>
      </c>
      <c r="J138" s="176"/>
      <c r="K138" s="176">
        <v>0.28299999999999997</v>
      </c>
      <c r="L138" s="177"/>
      <c r="M138" s="178">
        <f t="shared" si="29"/>
        <v>0.28299999999999997</v>
      </c>
      <c r="N138" s="466" t="s">
        <v>1479</v>
      </c>
      <c r="O138" s="455"/>
    </row>
    <row r="139" spans="1:15" ht="46.15">
      <c r="A139" s="357">
        <v>3</v>
      </c>
      <c r="B139" s="511" t="s">
        <v>1472</v>
      </c>
      <c r="C139" s="466" t="s">
        <v>1473</v>
      </c>
      <c r="D139" s="176">
        <v>1500</v>
      </c>
      <c r="E139" s="176">
        <v>1500</v>
      </c>
      <c r="F139" s="201" t="s">
        <v>1722</v>
      </c>
      <c r="G139" s="201">
        <v>2024</v>
      </c>
      <c r="H139" s="176">
        <v>1500</v>
      </c>
      <c r="I139" s="176">
        <v>75</v>
      </c>
      <c r="J139" s="176">
        <v>26.808</v>
      </c>
      <c r="K139" s="176"/>
      <c r="L139" s="177">
        <v>48</v>
      </c>
      <c r="M139" s="178">
        <f t="shared" si="29"/>
        <v>27</v>
      </c>
      <c r="N139" s="466" t="s">
        <v>1719</v>
      </c>
      <c r="O139" s="455"/>
    </row>
    <row r="140" spans="1:15" ht="46.15">
      <c r="A140" s="357">
        <v>4</v>
      </c>
      <c r="B140" s="511" t="s">
        <v>1480</v>
      </c>
      <c r="C140" s="466" t="s">
        <v>1481</v>
      </c>
      <c r="D140" s="176">
        <v>1300</v>
      </c>
      <c r="E140" s="176">
        <v>1300</v>
      </c>
      <c r="F140" s="201" t="s">
        <v>1722</v>
      </c>
      <c r="G140" s="201">
        <v>2024</v>
      </c>
      <c r="H140" s="176">
        <v>1300</v>
      </c>
      <c r="I140" s="176">
        <v>65</v>
      </c>
      <c r="J140" s="176">
        <v>53.063000000000002</v>
      </c>
      <c r="K140" s="176"/>
      <c r="L140" s="177">
        <v>12</v>
      </c>
      <c r="M140" s="178">
        <f t="shared" si="29"/>
        <v>53</v>
      </c>
      <c r="N140" s="466" t="s">
        <v>1719</v>
      </c>
      <c r="O140" s="455"/>
    </row>
    <row r="141" spans="1:15" s="456" customFormat="1" ht="114" customHeight="1">
      <c r="A141" s="327" t="s">
        <v>34</v>
      </c>
      <c r="B141" s="343" t="s">
        <v>1401</v>
      </c>
      <c r="C141" s="483"/>
      <c r="D141" s="197">
        <f>D142+D188</f>
        <v>115000</v>
      </c>
      <c r="E141" s="197">
        <f>E142+E188</f>
        <v>115000</v>
      </c>
      <c r="F141" s="207"/>
      <c r="G141" s="207"/>
      <c r="H141" s="197">
        <f>H142+H188</f>
        <v>113540.823</v>
      </c>
      <c r="I141" s="197">
        <f>I142+I188</f>
        <v>12783</v>
      </c>
      <c r="J141" s="197">
        <f>J142+J188</f>
        <v>10824.695</v>
      </c>
      <c r="K141" s="197">
        <f>K142+K188</f>
        <v>746.76099999999997</v>
      </c>
      <c r="L141" s="198">
        <f>L142+L188</f>
        <v>1265.0900000000001</v>
      </c>
      <c r="M141" s="190">
        <f t="shared" si="29"/>
        <v>12264.671</v>
      </c>
      <c r="N141" s="454"/>
      <c r="O141" s="455"/>
    </row>
    <row r="142" spans="1:15" s="485" customFormat="1" ht="21" customHeight="1">
      <c r="A142" s="512" t="s">
        <v>587</v>
      </c>
      <c r="B142" s="510" t="s">
        <v>1815</v>
      </c>
      <c r="C142" s="483"/>
      <c r="D142" s="206">
        <f>D143+D145</f>
        <v>66400</v>
      </c>
      <c r="E142" s="206">
        <f>E143+E145</f>
        <v>66400</v>
      </c>
      <c r="F142" s="207"/>
      <c r="G142" s="207"/>
      <c r="H142" s="206">
        <f>H143+H145</f>
        <v>66245</v>
      </c>
      <c r="I142" s="206">
        <f>I143+I145</f>
        <v>10304</v>
      </c>
      <c r="J142" s="206">
        <f>J143+J145</f>
        <v>9329.726999999999</v>
      </c>
      <c r="K142" s="206">
        <f>K143+K145</f>
        <v>63.832999999999998</v>
      </c>
      <c r="L142" s="219">
        <f>L143+L145</f>
        <v>966.18200000000002</v>
      </c>
      <c r="M142" s="178">
        <f t="shared" si="29"/>
        <v>9401.6509999999998</v>
      </c>
      <c r="N142" s="484"/>
      <c r="O142" s="455"/>
    </row>
    <row r="143" spans="1:15" s="475" customFormat="1" ht="21" customHeight="1">
      <c r="A143" s="513" t="s">
        <v>96</v>
      </c>
      <c r="B143" s="480" t="s">
        <v>1797</v>
      </c>
      <c r="C143" s="473"/>
      <c r="D143" s="203">
        <f>D144</f>
        <v>5000</v>
      </c>
      <c r="E143" s="203">
        <f>E144</f>
        <v>5000</v>
      </c>
      <c r="F143" s="204"/>
      <c r="G143" s="204"/>
      <c r="H143" s="203">
        <f>H144</f>
        <v>5000</v>
      </c>
      <c r="I143" s="203">
        <f>I144</f>
        <v>150</v>
      </c>
      <c r="J143" s="203">
        <f>J144</f>
        <v>104.48699999999999</v>
      </c>
      <c r="K143" s="203">
        <f>K144</f>
        <v>0</v>
      </c>
      <c r="L143" s="205">
        <f>L144</f>
        <v>46</v>
      </c>
      <c r="M143" s="178">
        <f t="shared" si="29"/>
        <v>104</v>
      </c>
      <c r="N143" s="474"/>
      <c r="O143" s="455"/>
    </row>
    <row r="144" spans="1:15" ht="46.15">
      <c r="A144" s="357">
        <v>1</v>
      </c>
      <c r="B144" s="467" t="s">
        <v>1484</v>
      </c>
      <c r="C144" s="466" t="s">
        <v>1814</v>
      </c>
      <c r="D144" s="176">
        <v>5000</v>
      </c>
      <c r="E144" s="176">
        <v>5000</v>
      </c>
      <c r="F144" s="201" t="s">
        <v>1796</v>
      </c>
      <c r="G144" s="201">
        <v>2023</v>
      </c>
      <c r="H144" s="176">
        <v>5000</v>
      </c>
      <c r="I144" s="176">
        <v>150</v>
      </c>
      <c r="J144" s="176">
        <v>104.48699999999999</v>
      </c>
      <c r="K144" s="176"/>
      <c r="L144" s="177">
        <v>46</v>
      </c>
      <c r="M144" s="178">
        <f t="shared" si="29"/>
        <v>104</v>
      </c>
      <c r="N144" s="466" t="s">
        <v>1719</v>
      </c>
      <c r="O144" s="455"/>
    </row>
    <row r="145" spans="1:15" s="475" customFormat="1" ht="15.75">
      <c r="A145" s="479" t="s">
        <v>97</v>
      </c>
      <c r="B145" s="480" t="s">
        <v>1723</v>
      </c>
      <c r="C145" s="473"/>
      <c r="D145" s="203">
        <f>SUM(D146:D187)</f>
        <v>61400</v>
      </c>
      <c r="E145" s="203">
        <f>SUM(E146:E187)</f>
        <v>61400</v>
      </c>
      <c r="F145" s="204"/>
      <c r="G145" s="204"/>
      <c r="H145" s="203">
        <f>SUM(H146:H187)</f>
        <v>61245</v>
      </c>
      <c r="I145" s="203">
        <f>SUM(I146:I187)</f>
        <v>10154</v>
      </c>
      <c r="J145" s="203">
        <f>SUM(J146:J187)</f>
        <v>9225.24</v>
      </c>
      <c r="K145" s="203">
        <f>SUM(K146:K187)</f>
        <v>63.832999999999998</v>
      </c>
      <c r="L145" s="205">
        <f>SUM(L146:L187)</f>
        <v>920.18200000000002</v>
      </c>
      <c r="M145" s="178">
        <f t="shared" si="29"/>
        <v>9297.6509999999998</v>
      </c>
      <c r="N145" s="474"/>
      <c r="O145" s="455"/>
    </row>
    <row r="146" spans="1:15" ht="46.15">
      <c r="A146" s="357">
        <v>1</v>
      </c>
      <c r="B146" s="514" t="s">
        <v>1486</v>
      </c>
      <c r="C146" s="466" t="s">
        <v>1487</v>
      </c>
      <c r="D146" s="176">
        <v>1500</v>
      </c>
      <c r="E146" s="176">
        <v>1500</v>
      </c>
      <c r="F146" s="201" t="s">
        <v>1722</v>
      </c>
      <c r="G146" s="201">
        <v>2024</v>
      </c>
      <c r="H146" s="176">
        <v>1500</v>
      </c>
      <c r="I146" s="176">
        <v>75</v>
      </c>
      <c r="J146" s="176">
        <v>61.588999999999999</v>
      </c>
      <c r="K146" s="176"/>
      <c r="L146" s="177">
        <v>13</v>
      </c>
      <c r="M146" s="178">
        <f t="shared" si="29"/>
        <v>62</v>
      </c>
      <c r="N146" s="466" t="s">
        <v>1719</v>
      </c>
      <c r="O146" s="455"/>
    </row>
    <row r="147" spans="1:15" ht="46.15">
      <c r="A147" s="357">
        <v>2</v>
      </c>
      <c r="B147" s="514" t="s">
        <v>1489</v>
      </c>
      <c r="C147" s="466" t="s">
        <v>1490</v>
      </c>
      <c r="D147" s="176">
        <v>2000</v>
      </c>
      <c r="E147" s="176">
        <v>2000</v>
      </c>
      <c r="F147" s="201" t="s">
        <v>1722</v>
      </c>
      <c r="G147" s="201">
        <v>2024</v>
      </c>
      <c r="H147" s="176">
        <v>2000</v>
      </c>
      <c r="I147" s="176">
        <v>40</v>
      </c>
      <c r="J147" s="176">
        <v>3.6259999999999977</v>
      </c>
      <c r="K147" s="176"/>
      <c r="L147" s="177">
        <v>36</v>
      </c>
      <c r="M147" s="178">
        <f t="shared" si="29"/>
        <v>4</v>
      </c>
      <c r="N147" s="466" t="s">
        <v>1719</v>
      </c>
      <c r="O147" s="455"/>
    </row>
    <row r="148" spans="1:15" ht="46.15">
      <c r="A148" s="357">
        <v>3</v>
      </c>
      <c r="B148" s="514" t="s">
        <v>1492</v>
      </c>
      <c r="C148" s="466" t="s">
        <v>1493</v>
      </c>
      <c r="D148" s="176">
        <v>2000</v>
      </c>
      <c r="E148" s="176">
        <v>2000</v>
      </c>
      <c r="F148" s="201" t="s">
        <v>1722</v>
      </c>
      <c r="G148" s="201">
        <v>2024</v>
      </c>
      <c r="H148" s="176">
        <v>2000</v>
      </c>
      <c r="I148" s="176">
        <v>40</v>
      </c>
      <c r="J148" s="176">
        <v>16.402999999999999</v>
      </c>
      <c r="K148" s="176"/>
      <c r="L148" s="177">
        <v>24</v>
      </c>
      <c r="M148" s="178">
        <f t="shared" si="29"/>
        <v>16</v>
      </c>
      <c r="N148" s="466" t="s">
        <v>1719</v>
      </c>
      <c r="O148" s="455"/>
    </row>
    <row r="149" spans="1:15" ht="46.15">
      <c r="A149" s="357">
        <v>4</v>
      </c>
      <c r="B149" s="514" t="s">
        <v>1495</v>
      </c>
      <c r="C149" s="466" t="s">
        <v>1496</v>
      </c>
      <c r="D149" s="176">
        <v>2000</v>
      </c>
      <c r="E149" s="176">
        <v>2000</v>
      </c>
      <c r="F149" s="201" t="s">
        <v>1722</v>
      </c>
      <c r="G149" s="201">
        <v>2024</v>
      </c>
      <c r="H149" s="176">
        <v>2000</v>
      </c>
      <c r="I149" s="176">
        <v>40</v>
      </c>
      <c r="J149" s="176"/>
      <c r="K149" s="176"/>
      <c r="L149" s="177">
        <v>40</v>
      </c>
      <c r="M149" s="178">
        <f t="shared" si="29"/>
        <v>0</v>
      </c>
      <c r="N149" s="466" t="s">
        <v>1719</v>
      </c>
      <c r="O149" s="455"/>
    </row>
    <row r="150" spans="1:15" ht="46.15">
      <c r="A150" s="357">
        <v>5</v>
      </c>
      <c r="B150" s="514" t="s">
        <v>1497</v>
      </c>
      <c r="C150" s="466" t="s">
        <v>1498</v>
      </c>
      <c r="D150" s="176">
        <v>1500</v>
      </c>
      <c r="E150" s="176">
        <v>1500</v>
      </c>
      <c r="F150" s="201" t="s">
        <v>1722</v>
      </c>
      <c r="G150" s="201">
        <v>2024</v>
      </c>
      <c r="H150" s="176">
        <v>1500</v>
      </c>
      <c r="I150" s="176">
        <v>75</v>
      </c>
      <c r="J150" s="176">
        <v>69.257999999999996</v>
      </c>
      <c r="K150" s="176"/>
      <c r="L150" s="177">
        <v>6</v>
      </c>
      <c r="M150" s="178">
        <f t="shared" si="29"/>
        <v>69</v>
      </c>
      <c r="N150" s="466" t="s">
        <v>1719</v>
      </c>
      <c r="O150" s="455"/>
    </row>
    <row r="151" spans="1:15" ht="46.15">
      <c r="A151" s="357">
        <v>6</v>
      </c>
      <c r="B151" s="514" t="s">
        <v>1813</v>
      </c>
      <c r="C151" s="466" t="s">
        <v>1500</v>
      </c>
      <c r="D151" s="176">
        <v>1000</v>
      </c>
      <c r="E151" s="176">
        <v>1000</v>
      </c>
      <c r="F151" s="201" t="s">
        <v>1722</v>
      </c>
      <c r="G151" s="201">
        <v>2024</v>
      </c>
      <c r="H151" s="176">
        <v>999</v>
      </c>
      <c r="I151" s="176">
        <v>49</v>
      </c>
      <c r="J151" s="176">
        <v>23.806000000000001</v>
      </c>
      <c r="K151" s="176"/>
      <c r="L151" s="177">
        <v>25</v>
      </c>
      <c r="M151" s="178">
        <f t="shared" si="29"/>
        <v>24</v>
      </c>
      <c r="N151" s="466" t="s">
        <v>1719</v>
      </c>
      <c r="O151" s="455"/>
    </row>
    <row r="152" spans="1:15" ht="46.15">
      <c r="A152" s="357">
        <v>7</v>
      </c>
      <c r="B152" s="514" t="s">
        <v>1812</v>
      </c>
      <c r="C152" s="466" t="s">
        <v>1573</v>
      </c>
      <c r="D152" s="176">
        <v>1000</v>
      </c>
      <c r="E152" s="176">
        <v>1000</v>
      </c>
      <c r="F152" s="201" t="s">
        <v>1722</v>
      </c>
      <c r="G152" s="201">
        <v>2024</v>
      </c>
      <c r="H152" s="176">
        <v>988</v>
      </c>
      <c r="I152" s="176">
        <v>38</v>
      </c>
      <c r="J152" s="176">
        <v>11.661999999999999</v>
      </c>
      <c r="K152" s="176"/>
      <c r="L152" s="177">
        <v>26</v>
      </c>
      <c r="M152" s="178">
        <f t="shared" si="29"/>
        <v>12</v>
      </c>
      <c r="N152" s="466" t="s">
        <v>1719</v>
      </c>
      <c r="O152" s="455"/>
    </row>
    <row r="153" spans="1:15" ht="96.75" customHeight="1">
      <c r="A153" s="357">
        <v>8</v>
      </c>
      <c r="B153" s="515" t="s">
        <v>1811</v>
      </c>
      <c r="C153" s="466" t="s">
        <v>1502</v>
      </c>
      <c r="D153" s="176">
        <v>1200</v>
      </c>
      <c r="E153" s="176">
        <v>1200</v>
      </c>
      <c r="F153" s="201" t="s">
        <v>1722</v>
      </c>
      <c r="G153" s="201">
        <v>2024</v>
      </c>
      <c r="H153" s="176">
        <v>1200</v>
      </c>
      <c r="I153" s="176">
        <v>60</v>
      </c>
      <c r="J153" s="176">
        <v>29.231000000000002</v>
      </c>
      <c r="K153" s="176"/>
      <c r="L153" s="177">
        <v>31</v>
      </c>
      <c r="M153" s="178">
        <f t="shared" si="29"/>
        <v>29</v>
      </c>
      <c r="N153" s="466" t="s">
        <v>1719</v>
      </c>
      <c r="O153" s="455"/>
    </row>
    <row r="154" spans="1:15" ht="46.15">
      <c r="A154" s="357">
        <v>9</v>
      </c>
      <c r="B154" s="516" t="s">
        <v>1810</v>
      </c>
      <c r="C154" s="466" t="s">
        <v>1505</v>
      </c>
      <c r="D154" s="176">
        <v>2000</v>
      </c>
      <c r="E154" s="176">
        <v>2000</v>
      </c>
      <c r="F154" s="201" t="s">
        <v>1722</v>
      </c>
      <c r="G154" s="201">
        <v>2024</v>
      </c>
      <c r="H154" s="176">
        <v>2000</v>
      </c>
      <c r="I154" s="176">
        <v>50</v>
      </c>
      <c r="J154" s="176"/>
      <c r="K154" s="176"/>
      <c r="L154" s="177">
        <v>3.004</v>
      </c>
      <c r="M154" s="178">
        <f t="shared" si="29"/>
        <v>46.996000000000002</v>
      </c>
      <c r="N154" s="466" t="s">
        <v>1719</v>
      </c>
      <c r="O154" s="455"/>
    </row>
    <row r="155" spans="1:15" ht="61.5">
      <c r="A155" s="357">
        <v>10</v>
      </c>
      <c r="B155" s="514" t="s">
        <v>1507</v>
      </c>
      <c r="C155" s="466" t="s">
        <v>1508</v>
      </c>
      <c r="D155" s="176">
        <v>2000</v>
      </c>
      <c r="E155" s="176">
        <v>2000</v>
      </c>
      <c r="F155" s="201" t="s">
        <v>1722</v>
      </c>
      <c r="G155" s="201">
        <v>2024</v>
      </c>
      <c r="H155" s="176">
        <v>2000</v>
      </c>
      <c r="I155" s="176">
        <v>1000</v>
      </c>
      <c r="J155" s="176">
        <v>954.13499999999999</v>
      </c>
      <c r="K155" s="176"/>
      <c r="L155" s="177">
        <v>46</v>
      </c>
      <c r="M155" s="178">
        <f t="shared" si="29"/>
        <v>954</v>
      </c>
      <c r="N155" s="466" t="s">
        <v>1719</v>
      </c>
      <c r="O155" s="455"/>
    </row>
    <row r="156" spans="1:15" ht="46.15">
      <c r="A156" s="357">
        <v>11</v>
      </c>
      <c r="B156" s="514" t="s">
        <v>1510</v>
      </c>
      <c r="C156" s="466" t="s">
        <v>1511</v>
      </c>
      <c r="D156" s="176">
        <v>2000</v>
      </c>
      <c r="E156" s="176">
        <v>2000</v>
      </c>
      <c r="F156" s="201" t="s">
        <v>1722</v>
      </c>
      <c r="G156" s="201">
        <v>2024</v>
      </c>
      <c r="H156" s="176">
        <v>2000</v>
      </c>
      <c r="I156" s="176">
        <v>1000</v>
      </c>
      <c r="J156" s="176">
        <v>991.44600000000003</v>
      </c>
      <c r="K156" s="176"/>
      <c r="L156" s="177">
        <v>9</v>
      </c>
      <c r="M156" s="178">
        <f t="shared" si="29"/>
        <v>991</v>
      </c>
      <c r="N156" s="466" t="s">
        <v>1719</v>
      </c>
      <c r="O156" s="455"/>
    </row>
    <row r="157" spans="1:15" ht="46.15">
      <c r="A157" s="357">
        <v>12</v>
      </c>
      <c r="B157" s="514" t="s">
        <v>1513</v>
      </c>
      <c r="C157" s="466" t="s">
        <v>1514</v>
      </c>
      <c r="D157" s="176">
        <v>1500</v>
      </c>
      <c r="E157" s="176">
        <v>1500</v>
      </c>
      <c r="F157" s="201" t="s">
        <v>1722</v>
      </c>
      <c r="G157" s="201">
        <v>2024</v>
      </c>
      <c r="H157" s="176">
        <v>1500</v>
      </c>
      <c r="I157" s="176">
        <v>75</v>
      </c>
      <c r="J157" s="176">
        <v>63.31</v>
      </c>
      <c r="K157" s="176"/>
      <c r="L157" s="177">
        <v>75</v>
      </c>
      <c r="M157" s="178">
        <f t="shared" si="29"/>
        <v>0</v>
      </c>
      <c r="N157" s="466" t="s">
        <v>1719</v>
      </c>
      <c r="O157" s="455"/>
    </row>
    <row r="158" spans="1:15" ht="61.5">
      <c r="A158" s="357">
        <v>13</v>
      </c>
      <c r="B158" s="514" t="s">
        <v>1515</v>
      </c>
      <c r="C158" s="466" t="s">
        <v>1516</v>
      </c>
      <c r="D158" s="176">
        <v>800</v>
      </c>
      <c r="E158" s="176">
        <v>800</v>
      </c>
      <c r="F158" s="201" t="s">
        <v>1722</v>
      </c>
      <c r="G158" s="201">
        <v>2024</v>
      </c>
      <c r="H158" s="176">
        <v>800</v>
      </c>
      <c r="I158" s="176">
        <v>0</v>
      </c>
      <c r="J158" s="176"/>
      <c r="K158" s="176"/>
      <c r="L158" s="177"/>
      <c r="M158" s="178">
        <f t="shared" si="29"/>
        <v>0</v>
      </c>
      <c r="N158" s="466" t="s">
        <v>1719</v>
      </c>
      <c r="O158" s="455"/>
    </row>
    <row r="159" spans="1:15" ht="46.15">
      <c r="A159" s="357">
        <v>14</v>
      </c>
      <c r="B159" s="514" t="s">
        <v>1518</v>
      </c>
      <c r="C159" s="466" t="s">
        <v>1519</v>
      </c>
      <c r="D159" s="176">
        <v>1200</v>
      </c>
      <c r="E159" s="176">
        <v>1200</v>
      </c>
      <c r="F159" s="201" t="s">
        <v>1722</v>
      </c>
      <c r="G159" s="201">
        <v>2024</v>
      </c>
      <c r="H159" s="176">
        <v>1151</v>
      </c>
      <c r="I159" s="176">
        <v>0</v>
      </c>
      <c r="J159" s="176"/>
      <c r="K159" s="176">
        <v>45.021999999999998</v>
      </c>
      <c r="L159" s="177"/>
      <c r="M159" s="178">
        <f t="shared" si="29"/>
        <v>45.021999999999998</v>
      </c>
      <c r="N159" s="347" t="s">
        <v>1808</v>
      </c>
      <c r="O159" s="455"/>
    </row>
    <row r="160" spans="1:15" ht="61.5">
      <c r="A160" s="357">
        <v>15</v>
      </c>
      <c r="B160" s="514" t="s">
        <v>1521</v>
      </c>
      <c r="C160" s="466" t="s">
        <v>1522</v>
      </c>
      <c r="D160" s="176">
        <v>1000</v>
      </c>
      <c r="E160" s="176">
        <v>1000</v>
      </c>
      <c r="F160" s="201" t="s">
        <v>1722</v>
      </c>
      <c r="G160" s="201">
        <v>2024</v>
      </c>
      <c r="H160" s="176">
        <v>1000</v>
      </c>
      <c r="I160" s="176">
        <v>50</v>
      </c>
      <c r="J160" s="176">
        <v>49.061999999999998</v>
      </c>
      <c r="K160" s="176"/>
      <c r="L160" s="177">
        <v>1</v>
      </c>
      <c r="M160" s="178">
        <f t="shared" si="29"/>
        <v>49</v>
      </c>
      <c r="N160" s="466" t="s">
        <v>1719</v>
      </c>
      <c r="O160" s="455"/>
    </row>
    <row r="161" spans="1:15" ht="61.5">
      <c r="A161" s="357">
        <v>16</v>
      </c>
      <c r="B161" s="514" t="s">
        <v>1523</v>
      </c>
      <c r="C161" s="466" t="s">
        <v>1524</v>
      </c>
      <c r="D161" s="176">
        <v>1000</v>
      </c>
      <c r="E161" s="176">
        <v>1000</v>
      </c>
      <c r="F161" s="201" t="s">
        <v>1722</v>
      </c>
      <c r="G161" s="201">
        <v>2024</v>
      </c>
      <c r="H161" s="176">
        <v>1000</v>
      </c>
      <c r="I161" s="176">
        <v>50</v>
      </c>
      <c r="J161" s="176">
        <v>49.591000000000001</v>
      </c>
      <c r="K161" s="176"/>
      <c r="L161" s="177">
        <v>0.40899999999999997</v>
      </c>
      <c r="M161" s="178">
        <f t="shared" si="29"/>
        <v>49.591000000000001</v>
      </c>
      <c r="N161" s="466" t="s">
        <v>1719</v>
      </c>
      <c r="O161" s="455"/>
    </row>
    <row r="162" spans="1:15" ht="52.5" customHeight="1">
      <c r="A162" s="357">
        <v>17</v>
      </c>
      <c r="B162" s="514" t="s">
        <v>1525</v>
      </c>
      <c r="C162" s="466" t="s">
        <v>1526</v>
      </c>
      <c r="D162" s="176">
        <v>1300</v>
      </c>
      <c r="E162" s="176">
        <v>1300</v>
      </c>
      <c r="F162" s="201" t="s">
        <v>1722</v>
      </c>
      <c r="G162" s="201">
        <v>2024</v>
      </c>
      <c r="H162" s="176">
        <v>1294</v>
      </c>
      <c r="I162" s="176">
        <v>59</v>
      </c>
      <c r="J162" s="176">
        <v>59</v>
      </c>
      <c r="K162" s="176">
        <v>4.9420000000000002</v>
      </c>
      <c r="L162" s="177"/>
      <c r="M162" s="178">
        <f t="shared" si="29"/>
        <v>63.942</v>
      </c>
      <c r="N162" s="347" t="s">
        <v>1808</v>
      </c>
      <c r="O162" s="455"/>
    </row>
    <row r="163" spans="1:15" ht="52.5" customHeight="1">
      <c r="A163" s="357">
        <v>18</v>
      </c>
      <c r="B163" s="514" t="s">
        <v>1527</v>
      </c>
      <c r="C163" s="466" t="s">
        <v>1528</v>
      </c>
      <c r="D163" s="176">
        <v>1300</v>
      </c>
      <c r="E163" s="176">
        <v>1300</v>
      </c>
      <c r="F163" s="201" t="s">
        <v>1722</v>
      </c>
      <c r="G163" s="201">
        <v>2024</v>
      </c>
      <c r="H163" s="176">
        <v>1300</v>
      </c>
      <c r="I163" s="176">
        <v>50</v>
      </c>
      <c r="J163" s="176">
        <v>49.692999999999998</v>
      </c>
      <c r="K163" s="176"/>
      <c r="L163" s="177">
        <v>0.307</v>
      </c>
      <c r="M163" s="178">
        <f t="shared" si="29"/>
        <v>49.692999999999998</v>
      </c>
      <c r="N163" s="466" t="s">
        <v>1719</v>
      </c>
      <c r="O163" s="455"/>
    </row>
    <row r="164" spans="1:15" ht="52.5" customHeight="1">
      <c r="A164" s="357">
        <v>19</v>
      </c>
      <c r="B164" s="514" t="s">
        <v>1529</v>
      </c>
      <c r="C164" s="466" t="s">
        <v>1530</v>
      </c>
      <c r="D164" s="176">
        <v>1000</v>
      </c>
      <c r="E164" s="176">
        <v>1000</v>
      </c>
      <c r="F164" s="201" t="s">
        <v>1722</v>
      </c>
      <c r="G164" s="201">
        <v>2024</v>
      </c>
      <c r="H164" s="176">
        <v>993</v>
      </c>
      <c r="I164" s="176">
        <v>43</v>
      </c>
      <c r="J164" s="176">
        <v>47.96</v>
      </c>
      <c r="K164" s="176">
        <v>4.96</v>
      </c>
      <c r="L164" s="177"/>
      <c r="M164" s="178">
        <f t="shared" si="29"/>
        <v>47.96</v>
      </c>
      <c r="N164" s="347" t="s">
        <v>1808</v>
      </c>
      <c r="O164" s="455"/>
    </row>
    <row r="165" spans="1:15" ht="52.5" customHeight="1">
      <c r="A165" s="357">
        <v>20</v>
      </c>
      <c r="B165" s="514" t="s">
        <v>1531</v>
      </c>
      <c r="C165" s="466" t="s">
        <v>1532</v>
      </c>
      <c r="D165" s="176">
        <v>1000</v>
      </c>
      <c r="E165" s="176">
        <v>1000</v>
      </c>
      <c r="F165" s="201" t="s">
        <v>1722</v>
      </c>
      <c r="G165" s="201">
        <v>2024</v>
      </c>
      <c r="H165" s="176">
        <v>991</v>
      </c>
      <c r="I165" s="176">
        <v>41</v>
      </c>
      <c r="J165" s="176">
        <v>48.631999999999998</v>
      </c>
      <c r="K165" s="176">
        <v>7.6319999999999997</v>
      </c>
      <c r="L165" s="177"/>
      <c r="M165" s="178">
        <f t="shared" si="29"/>
        <v>48.631999999999998</v>
      </c>
      <c r="N165" s="347" t="s">
        <v>1808</v>
      </c>
      <c r="O165" s="455"/>
    </row>
    <row r="166" spans="1:15" ht="60" customHeight="1">
      <c r="A166" s="357">
        <v>21</v>
      </c>
      <c r="B166" s="515" t="s">
        <v>1809</v>
      </c>
      <c r="C166" s="466" t="s">
        <v>1534</v>
      </c>
      <c r="D166" s="176">
        <v>3000</v>
      </c>
      <c r="E166" s="176">
        <v>3000</v>
      </c>
      <c r="F166" s="201" t="s">
        <v>1722</v>
      </c>
      <c r="G166" s="201">
        <v>2024</v>
      </c>
      <c r="H166" s="176">
        <v>3000</v>
      </c>
      <c r="I166" s="176">
        <v>1500</v>
      </c>
      <c r="J166" s="176">
        <v>1482.1210000000001</v>
      </c>
      <c r="K166" s="176"/>
      <c r="L166" s="177">
        <v>18</v>
      </c>
      <c r="M166" s="178">
        <f t="shared" si="29"/>
        <v>1482</v>
      </c>
      <c r="N166" s="466" t="s">
        <v>1719</v>
      </c>
      <c r="O166" s="455"/>
    </row>
    <row r="167" spans="1:15" ht="52.5" customHeight="1">
      <c r="A167" s="357">
        <v>22</v>
      </c>
      <c r="B167" s="515" t="s">
        <v>1535</v>
      </c>
      <c r="C167" s="466" t="s">
        <v>1536</v>
      </c>
      <c r="D167" s="176">
        <v>2000</v>
      </c>
      <c r="E167" s="176">
        <v>2000</v>
      </c>
      <c r="F167" s="201" t="s">
        <v>1722</v>
      </c>
      <c r="G167" s="201">
        <v>2024</v>
      </c>
      <c r="H167" s="176">
        <v>2000</v>
      </c>
      <c r="I167" s="176">
        <v>40</v>
      </c>
      <c r="J167" s="176"/>
      <c r="K167" s="176"/>
      <c r="L167" s="177">
        <v>40</v>
      </c>
      <c r="M167" s="178">
        <f t="shared" ref="M167:M198" si="30">I167+K167-L167</f>
        <v>0</v>
      </c>
      <c r="N167" s="466" t="s">
        <v>1719</v>
      </c>
      <c r="O167" s="455"/>
    </row>
    <row r="168" spans="1:15" ht="67.5" customHeight="1">
      <c r="A168" s="357">
        <v>23</v>
      </c>
      <c r="B168" s="515" t="s">
        <v>1537</v>
      </c>
      <c r="C168" s="466" t="s">
        <v>1538</v>
      </c>
      <c r="D168" s="176">
        <v>2400</v>
      </c>
      <c r="E168" s="176">
        <v>2400</v>
      </c>
      <c r="F168" s="201" t="s">
        <v>1722</v>
      </c>
      <c r="G168" s="201">
        <v>2024</v>
      </c>
      <c r="H168" s="176">
        <v>2400</v>
      </c>
      <c r="I168" s="176">
        <v>1400</v>
      </c>
      <c r="J168" s="176">
        <v>1310.433</v>
      </c>
      <c r="K168" s="176"/>
      <c r="L168" s="177">
        <v>90</v>
      </c>
      <c r="M168" s="178">
        <f t="shared" si="30"/>
        <v>1310</v>
      </c>
      <c r="N168" s="466" t="s">
        <v>1719</v>
      </c>
      <c r="O168" s="455"/>
    </row>
    <row r="169" spans="1:15" ht="67.5" customHeight="1">
      <c r="A169" s="357">
        <v>24</v>
      </c>
      <c r="B169" s="514" t="s">
        <v>1539</v>
      </c>
      <c r="C169" s="466" t="s">
        <v>1540</v>
      </c>
      <c r="D169" s="176">
        <v>1200</v>
      </c>
      <c r="E169" s="176">
        <v>1200</v>
      </c>
      <c r="F169" s="201" t="s">
        <v>1722</v>
      </c>
      <c r="G169" s="201">
        <v>2024</v>
      </c>
      <c r="H169" s="176">
        <v>1200</v>
      </c>
      <c r="I169" s="176">
        <v>60</v>
      </c>
      <c r="J169" s="176">
        <v>42.45</v>
      </c>
      <c r="K169" s="176"/>
      <c r="L169" s="177">
        <v>17</v>
      </c>
      <c r="M169" s="178">
        <f t="shared" si="30"/>
        <v>43</v>
      </c>
      <c r="N169" s="466" t="s">
        <v>1719</v>
      </c>
      <c r="O169" s="455"/>
    </row>
    <row r="170" spans="1:15" ht="67.5" customHeight="1">
      <c r="A170" s="357">
        <v>25</v>
      </c>
      <c r="B170" s="514" t="s">
        <v>1541</v>
      </c>
      <c r="C170" s="466" t="s">
        <v>1542</v>
      </c>
      <c r="D170" s="176">
        <v>1000</v>
      </c>
      <c r="E170" s="176">
        <v>1000</v>
      </c>
      <c r="F170" s="201" t="s">
        <v>1722</v>
      </c>
      <c r="G170" s="201">
        <v>2024</v>
      </c>
      <c r="H170" s="176">
        <v>994</v>
      </c>
      <c r="I170" s="176">
        <v>44</v>
      </c>
      <c r="J170" s="176">
        <v>30.807000000000002</v>
      </c>
      <c r="K170" s="176"/>
      <c r="L170" s="177">
        <v>13</v>
      </c>
      <c r="M170" s="178">
        <f t="shared" si="30"/>
        <v>31</v>
      </c>
      <c r="N170" s="466" t="s">
        <v>1719</v>
      </c>
      <c r="O170" s="455"/>
    </row>
    <row r="171" spans="1:15" ht="67.5" customHeight="1">
      <c r="A171" s="357">
        <v>26</v>
      </c>
      <c r="B171" s="514" t="s">
        <v>1543</v>
      </c>
      <c r="C171" s="466" t="s">
        <v>1544</v>
      </c>
      <c r="D171" s="176">
        <v>1200</v>
      </c>
      <c r="E171" s="176">
        <v>1200</v>
      </c>
      <c r="F171" s="201" t="s">
        <v>1722</v>
      </c>
      <c r="G171" s="201">
        <v>2024</v>
      </c>
      <c r="H171" s="176">
        <v>1200</v>
      </c>
      <c r="I171" s="176">
        <v>60</v>
      </c>
      <c r="J171" s="176">
        <v>39.335000000000001</v>
      </c>
      <c r="K171" s="176"/>
      <c r="L171" s="177">
        <v>21</v>
      </c>
      <c r="M171" s="178">
        <f t="shared" si="30"/>
        <v>39</v>
      </c>
      <c r="N171" s="466" t="s">
        <v>1719</v>
      </c>
      <c r="O171" s="455"/>
    </row>
    <row r="172" spans="1:15" ht="46.15">
      <c r="A172" s="357">
        <v>27</v>
      </c>
      <c r="B172" s="514" t="s">
        <v>1545</v>
      </c>
      <c r="C172" s="466" t="s">
        <v>1546</v>
      </c>
      <c r="D172" s="176">
        <v>1200</v>
      </c>
      <c r="E172" s="176">
        <v>1200</v>
      </c>
      <c r="F172" s="201" t="s">
        <v>1722</v>
      </c>
      <c r="G172" s="201">
        <v>2024</v>
      </c>
      <c r="H172" s="176">
        <v>1200</v>
      </c>
      <c r="I172" s="176">
        <v>60</v>
      </c>
      <c r="J172" s="176">
        <v>39.989999999999995</v>
      </c>
      <c r="K172" s="176"/>
      <c r="L172" s="177">
        <v>9</v>
      </c>
      <c r="M172" s="178">
        <f t="shared" si="30"/>
        <v>51</v>
      </c>
      <c r="N172" s="466" t="s">
        <v>1719</v>
      </c>
      <c r="O172" s="455"/>
    </row>
    <row r="173" spans="1:15" ht="61.5">
      <c r="A173" s="357">
        <v>28</v>
      </c>
      <c r="B173" s="514" t="s">
        <v>1547</v>
      </c>
      <c r="C173" s="466" t="s">
        <v>1548</v>
      </c>
      <c r="D173" s="176">
        <v>1200</v>
      </c>
      <c r="E173" s="176">
        <v>1200</v>
      </c>
      <c r="F173" s="201" t="s">
        <v>1722</v>
      </c>
      <c r="G173" s="201">
        <v>2024</v>
      </c>
      <c r="H173" s="176">
        <v>1200</v>
      </c>
      <c r="I173" s="176">
        <v>60</v>
      </c>
      <c r="J173" s="176">
        <v>32.466999999999999</v>
      </c>
      <c r="K173" s="176"/>
      <c r="L173" s="177">
        <v>27</v>
      </c>
      <c r="M173" s="178">
        <f t="shared" si="30"/>
        <v>33</v>
      </c>
      <c r="N173" s="466" t="s">
        <v>1719</v>
      </c>
      <c r="O173" s="455"/>
    </row>
    <row r="174" spans="1:15" ht="46.15">
      <c r="A174" s="357">
        <v>29</v>
      </c>
      <c r="B174" s="514" t="s">
        <v>1549</v>
      </c>
      <c r="C174" s="466" t="s">
        <v>1550</v>
      </c>
      <c r="D174" s="176">
        <v>1500</v>
      </c>
      <c r="E174" s="176">
        <v>1500</v>
      </c>
      <c r="F174" s="201" t="s">
        <v>1722</v>
      </c>
      <c r="G174" s="201">
        <v>2024</v>
      </c>
      <c r="H174" s="176">
        <v>1500</v>
      </c>
      <c r="I174" s="176">
        <v>75</v>
      </c>
      <c r="J174" s="176">
        <v>9.7900000000000063</v>
      </c>
      <c r="K174" s="176"/>
      <c r="L174" s="177">
        <v>65</v>
      </c>
      <c r="M174" s="178">
        <f t="shared" si="30"/>
        <v>10</v>
      </c>
      <c r="N174" s="466" t="s">
        <v>1719</v>
      </c>
      <c r="O174" s="455"/>
    </row>
    <row r="175" spans="1:15" ht="55.5" customHeight="1">
      <c r="A175" s="357">
        <v>30</v>
      </c>
      <c r="B175" s="514" t="s">
        <v>1551</v>
      </c>
      <c r="C175" s="466" t="s">
        <v>1552</v>
      </c>
      <c r="D175" s="176">
        <v>1000</v>
      </c>
      <c r="E175" s="176">
        <v>1000</v>
      </c>
      <c r="F175" s="201" t="s">
        <v>1722</v>
      </c>
      <c r="G175" s="201">
        <v>2024</v>
      </c>
      <c r="H175" s="176">
        <v>997</v>
      </c>
      <c r="I175" s="176">
        <v>47</v>
      </c>
      <c r="J175" s="176">
        <v>20.984000000000002</v>
      </c>
      <c r="K175" s="176">
        <v>1.2769999999999999</v>
      </c>
      <c r="L175" s="177"/>
      <c r="M175" s="178">
        <f t="shared" si="30"/>
        <v>48.277000000000001</v>
      </c>
      <c r="N175" s="347" t="s">
        <v>1808</v>
      </c>
      <c r="O175" s="455"/>
    </row>
    <row r="176" spans="1:15" ht="55.5" customHeight="1">
      <c r="A176" s="357">
        <v>31</v>
      </c>
      <c r="B176" s="514" t="s">
        <v>1553</v>
      </c>
      <c r="C176" s="466" t="s">
        <v>1554</v>
      </c>
      <c r="D176" s="176">
        <v>1300</v>
      </c>
      <c r="E176" s="176">
        <v>1300</v>
      </c>
      <c r="F176" s="201" t="s">
        <v>1722</v>
      </c>
      <c r="G176" s="201">
        <v>2024</v>
      </c>
      <c r="H176" s="176">
        <v>1288</v>
      </c>
      <c r="I176" s="176">
        <v>53</v>
      </c>
      <c r="J176" s="176">
        <v>19.497</v>
      </c>
      <c r="K176" s="176"/>
      <c r="L176" s="177">
        <v>33</v>
      </c>
      <c r="M176" s="178">
        <f t="shared" si="30"/>
        <v>20</v>
      </c>
      <c r="N176" s="466" t="s">
        <v>1719</v>
      </c>
      <c r="O176" s="455"/>
    </row>
    <row r="177" spans="1:15" ht="46.15">
      <c r="A177" s="357">
        <v>32</v>
      </c>
      <c r="B177" s="514" t="s">
        <v>1555</v>
      </c>
      <c r="C177" s="466" t="s">
        <v>1556</v>
      </c>
      <c r="D177" s="176">
        <v>1300</v>
      </c>
      <c r="E177" s="176">
        <v>1300</v>
      </c>
      <c r="F177" s="201" t="s">
        <v>1722</v>
      </c>
      <c r="G177" s="201">
        <v>2024</v>
      </c>
      <c r="H177" s="176">
        <v>1300</v>
      </c>
      <c r="I177" s="176">
        <v>65</v>
      </c>
      <c r="J177" s="176">
        <v>60.116999999999997</v>
      </c>
      <c r="K177" s="176"/>
      <c r="L177" s="177">
        <v>5</v>
      </c>
      <c r="M177" s="178">
        <f t="shared" si="30"/>
        <v>60</v>
      </c>
      <c r="N177" s="466" t="s">
        <v>1719</v>
      </c>
      <c r="O177" s="455"/>
    </row>
    <row r="178" spans="1:15" ht="62.25" customHeight="1">
      <c r="A178" s="357">
        <v>33</v>
      </c>
      <c r="B178" s="517" t="s">
        <v>1557</v>
      </c>
      <c r="C178" s="466" t="s">
        <v>1558</v>
      </c>
      <c r="D178" s="176">
        <v>2500</v>
      </c>
      <c r="E178" s="176">
        <v>2500</v>
      </c>
      <c r="F178" s="201" t="s">
        <v>1722</v>
      </c>
      <c r="G178" s="201">
        <v>2024</v>
      </c>
      <c r="H178" s="176">
        <v>2500</v>
      </c>
      <c r="I178" s="176">
        <v>1500</v>
      </c>
      <c r="J178" s="176">
        <v>1343.636</v>
      </c>
      <c r="K178" s="176"/>
      <c r="L178" s="177">
        <v>156</v>
      </c>
      <c r="M178" s="178">
        <f t="shared" si="30"/>
        <v>1344</v>
      </c>
      <c r="N178" s="466" t="s">
        <v>1719</v>
      </c>
      <c r="O178" s="455"/>
    </row>
    <row r="179" spans="1:15" ht="62.25" customHeight="1">
      <c r="A179" s="357">
        <v>34</v>
      </c>
      <c r="B179" s="517" t="s">
        <v>1559</v>
      </c>
      <c r="C179" s="466" t="s">
        <v>1560</v>
      </c>
      <c r="D179" s="176">
        <v>2000</v>
      </c>
      <c r="E179" s="176">
        <v>2000</v>
      </c>
      <c r="F179" s="201" t="s">
        <v>1722</v>
      </c>
      <c r="G179" s="201">
        <v>2024</v>
      </c>
      <c r="H179" s="176">
        <v>2000</v>
      </c>
      <c r="I179" s="176">
        <v>50</v>
      </c>
      <c r="J179" s="176">
        <v>49.948999999999998</v>
      </c>
      <c r="K179" s="176"/>
      <c r="L179" s="177">
        <v>5.0999999999999997E-2</v>
      </c>
      <c r="M179" s="178">
        <f t="shared" si="30"/>
        <v>49.948999999999998</v>
      </c>
      <c r="N179" s="466" t="s">
        <v>1719</v>
      </c>
      <c r="O179" s="455"/>
    </row>
    <row r="180" spans="1:15" ht="62.25" customHeight="1">
      <c r="A180" s="357">
        <v>35</v>
      </c>
      <c r="B180" s="517" t="s">
        <v>1561</v>
      </c>
      <c r="C180" s="466" t="s">
        <v>1562</v>
      </c>
      <c r="D180" s="176">
        <v>3000</v>
      </c>
      <c r="E180" s="176">
        <v>3000</v>
      </c>
      <c r="F180" s="201" t="s">
        <v>1722</v>
      </c>
      <c r="G180" s="201">
        <v>2024</v>
      </c>
      <c r="H180" s="176">
        <v>3000</v>
      </c>
      <c r="I180" s="176">
        <v>2000</v>
      </c>
      <c r="J180" s="176">
        <v>1989.0139999999999</v>
      </c>
      <c r="K180" s="176"/>
      <c r="L180" s="177">
        <v>10.986000000000001</v>
      </c>
      <c r="M180" s="178">
        <f t="shared" si="30"/>
        <v>1989.0139999999999</v>
      </c>
      <c r="N180" s="466" t="s">
        <v>1719</v>
      </c>
      <c r="O180" s="455"/>
    </row>
    <row r="181" spans="1:15" ht="62.25" customHeight="1">
      <c r="A181" s="357">
        <v>36</v>
      </c>
      <c r="B181" s="517" t="s">
        <v>1564</v>
      </c>
      <c r="C181" s="466" t="s">
        <v>1565</v>
      </c>
      <c r="D181" s="176">
        <v>1500</v>
      </c>
      <c r="E181" s="176">
        <v>1500</v>
      </c>
      <c r="F181" s="201" t="s">
        <v>1722</v>
      </c>
      <c r="G181" s="201">
        <v>2024</v>
      </c>
      <c r="H181" s="176">
        <v>1500</v>
      </c>
      <c r="I181" s="176">
        <v>75</v>
      </c>
      <c r="J181" s="176">
        <v>73.941999999999993</v>
      </c>
      <c r="K181" s="176"/>
      <c r="L181" s="177">
        <v>1.0580000000000001</v>
      </c>
      <c r="M181" s="178">
        <f t="shared" si="30"/>
        <v>73.941999999999993</v>
      </c>
      <c r="N181" s="466" t="s">
        <v>1719</v>
      </c>
      <c r="O181" s="455"/>
    </row>
    <row r="182" spans="1:15" ht="62.25" customHeight="1">
      <c r="A182" s="357">
        <v>37</v>
      </c>
      <c r="B182" s="517" t="s">
        <v>1566</v>
      </c>
      <c r="C182" s="466" t="s">
        <v>1567</v>
      </c>
      <c r="D182" s="176">
        <v>1300</v>
      </c>
      <c r="E182" s="176">
        <v>1300</v>
      </c>
      <c r="F182" s="201" t="s">
        <v>1722</v>
      </c>
      <c r="G182" s="201">
        <v>2024</v>
      </c>
      <c r="H182" s="176">
        <v>1300</v>
      </c>
      <c r="I182" s="176">
        <v>65</v>
      </c>
      <c r="J182" s="176">
        <v>62.387999999999998</v>
      </c>
      <c r="K182" s="176"/>
      <c r="L182" s="177">
        <v>3</v>
      </c>
      <c r="M182" s="178">
        <f>I182+K182-L182</f>
        <v>62</v>
      </c>
      <c r="N182" s="466" t="s">
        <v>1719</v>
      </c>
      <c r="O182" s="455"/>
    </row>
    <row r="183" spans="1:15" ht="46.15">
      <c r="A183" s="357">
        <v>38</v>
      </c>
      <c r="B183" s="517" t="s">
        <v>1807</v>
      </c>
      <c r="C183" s="466" t="s">
        <v>1570</v>
      </c>
      <c r="D183" s="176">
        <v>1300</v>
      </c>
      <c r="E183" s="176">
        <v>1300</v>
      </c>
      <c r="F183" s="201" t="s">
        <v>1722</v>
      </c>
      <c r="G183" s="201">
        <v>2024</v>
      </c>
      <c r="H183" s="176">
        <v>1300</v>
      </c>
      <c r="I183" s="176">
        <v>65</v>
      </c>
      <c r="J183" s="176">
        <v>46.283000000000001</v>
      </c>
      <c r="K183" s="176"/>
      <c r="L183" s="177">
        <v>19</v>
      </c>
      <c r="M183" s="178">
        <f t="shared" si="30"/>
        <v>46</v>
      </c>
      <c r="N183" s="466" t="s">
        <v>1719</v>
      </c>
      <c r="O183" s="455"/>
    </row>
    <row r="184" spans="1:15" ht="61.5">
      <c r="A184" s="357">
        <v>39</v>
      </c>
      <c r="B184" s="517" t="s">
        <v>1575</v>
      </c>
      <c r="C184" s="466" t="s">
        <v>1576</v>
      </c>
      <c r="D184" s="176">
        <v>1000</v>
      </c>
      <c r="E184" s="176">
        <v>1000</v>
      </c>
      <c r="F184" s="201" t="s">
        <v>1722</v>
      </c>
      <c r="G184" s="201">
        <v>2024</v>
      </c>
      <c r="H184" s="176">
        <v>1000</v>
      </c>
      <c r="I184" s="176">
        <v>50</v>
      </c>
      <c r="J184" s="176">
        <v>43.633000000000003</v>
      </c>
      <c r="K184" s="176"/>
      <c r="L184" s="177">
        <v>6.367</v>
      </c>
      <c r="M184" s="178">
        <f t="shared" si="30"/>
        <v>43.633000000000003</v>
      </c>
      <c r="N184" s="466" t="s">
        <v>1719</v>
      </c>
      <c r="O184" s="455"/>
    </row>
    <row r="185" spans="1:15" ht="72" customHeight="1">
      <c r="A185" s="357">
        <v>40</v>
      </c>
      <c r="B185" s="517" t="s">
        <v>1579</v>
      </c>
      <c r="C185" s="466" t="s">
        <v>1580</v>
      </c>
      <c r="D185" s="176">
        <v>500</v>
      </c>
      <c r="E185" s="176">
        <v>500</v>
      </c>
      <c r="F185" s="201" t="s">
        <v>1722</v>
      </c>
      <c r="G185" s="201">
        <v>2024</v>
      </c>
      <c r="H185" s="176">
        <v>500</v>
      </c>
      <c r="I185" s="176">
        <v>0</v>
      </c>
      <c r="J185" s="176"/>
      <c r="K185" s="176"/>
      <c r="L185" s="177"/>
      <c r="M185" s="178">
        <f t="shared" si="30"/>
        <v>0</v>
      </c>
      <c r="N185" s="466" t="s">
        <v>1719</v>
      </c>
      <c r="O185" s="455"/>
    </row>
    <row r="186" spans="1:15" ht="72" customHeight="1">
      <c r="A186" s="357">
        <v>41</v>
      </c>
      <c r="B186" s="517" t="s">
        <v>1581</v>
      </c>
      <c r="C186" s="466" t="s">
        <v>1582</v>
      </c>
      <c r="D186" s="176">
        <v>1000</v>
      </c>
      <c r="E186" s="176">
        <v>1000</v>
      </c>
      <c r="F186" s="201" t="s">
        <v>1722</v>
      </c>
      <c r="G186" s="201">
        <v>2024</v>
      </c>
      <c r="H186" s="176">
        <v>950</v>
      </c>
      <c r="I186" s="176">
        <v>50</v>
      </c>
      <c r="J186" s="176"/>
      <c r="K186" s="176"/>
      <c r="L186" s="177">
        <v>50</v>
      </c>
      <c r="M186" s="178">
        <f t="shared" si="30"/>
        <v>0</v>
      </c>
      <c r="N186" s="466" t="s">
        <v>1719</v>
      </c>
      <c r="O186" s="455"/>
    </row>
    <row r="187" spans="1:15" ht="72" customHeight="1">
      <c r="A187" s="357">
        <v>42</v>
      </c>
      <c r="B187" s="517" t="s">
        <v>1583</v>
      </c>
      <c r="C187" s="466" t="s">
        <v>1584</v>
      </c>
      <c r="D187" s="176">
        <v>700</v>
      </c>
      <c r="E187" s="176">
        <v>700</v>
      </c>
      <c r="F187" s="201" t="s">
        <v>1722</v>
      </c>
      <c r="G187" s="201">
        <v>2024</v>
      </c>
      <c r="H187" s="176">
        <v>700</v>
      </c>
      <c r="I187" s="176">
        <v>0</v>
      </c>
      <c r="J187" s="176"/>
      <c r="K187" s="176"/>
      <c r="L187" s="177"/>
      <c r="M187" s="178">
        <f t="shared" si="30"/>
        <v>0</v>
      </c>
      <c r="N187" s="466" t="s">
        <v>1719</v>
      </c>
      <c r="O187" s="455"/>
    </row>
    <row r="188" spans="1:15" ht="36.75" customHeight="1">
      <c r="A188" s="271" t="s">
        <v>587</v>
      </c>
      <c r="B188" s="343" t="s">
        <v>1445</v>
      </c>
      <c r="C188" s="466"/>
      <c r="D188" s="165">
        <f>SUM(D189:D193)</f>
        <v>48600</v>
      </c>
      <c r="E188" s="165">
        <f>SUM(E189:E193)</f>
        <v>48600</v>
      </c>
      <c r="F188" s="201"/>
      <c r="G188" s="201"/>
      <c r="H188" s="165">
        <f>SUM(H189:H193)</f>
        <v>47295.823000000004</v>
      </c>
      <c r="I188" s="165">
        <f>SUM(I189:I193)</f>
        <v>2479</v>
      </c>
      <c r="J188" s="165">
        <f>SUM(J189:J193)</f>
        <v>1494.9680000000001</v>
      </c>
      <c r="K188" s="165">
        <f>SUM(K189:K193)</f>
        <v>682.928</v>
      </c>
      <c r="L188" s="166">
        <f>SUM(L189:L193)</f>
        <v>298.90800000000002</v>
      </c>
      <c r="M188" s="178">
        <f t="shared" si="30"/>
        <v>2863.02</v>
      </c>
      <c r="N188" s="458"/>
      <c r="O188" s="455"/>
    </row>
    <row r="189" spans="1:15" ht="81" customHeight="1">
      <c r="A189" s="357">
        <v>1</v>
      </c>
      <c r="B189" s="467" t="s">
        <v>1806</v>
      </c>
      <c r="C189" s="466" t="s">
        <v>1805</v>
      </c>
      <c r="D189" s="176">
        <v>20000</v>
      </c>
      <c r="E189" s="176">
        <v>20000</v>
      </c>
      <c r="F189" s="201" t="s">
        <v>1804</v>
      </c>
      <c r="G189" s="201">
        <v>2022</v>
      </c>
      <c r="H189" s="176">
        <v>18721.823</v>
      </c>
      <c r="I189" s="176">
        <v>1685</v>
      </c>
      <c r="J189" s="176">
        <v>1000</v>
      </c>
      <c r="K189" s="176">
        <v>682.928</v>
      </c>
      <c r="L189" s="177"/>
      <c r="M189" s="178">
        <f t="shared" si="30"/>
        <v>2367.9279999999999</v>
      </c>
      <c r="N189" s="466" t="s">
        <v>1803</v>
      </c>
      <c r="O189" s="455"/>
    </row>
    <row r="190" spans="1:15" ht="81" customHeight="1">
      <c r="A190" s="357">
        <v>2</v>
      </c>
      <c r="B190" s="467" t="s">
        <v>1586</v>
      </c>
      <c r="C190" s="466" t="s">
        <v>1802</v>
      </c>
      <c r="D190" s="176">
        <v>8000</v>
      </c>
      <c r="E190" s="176">
        <v>8000</v>
      </c>
      <c r="F190" s="201" t="s">
        <v>1801</v>
      </c>
      <c r="G190" s="201">
        <v>2023</v>
      </c>
      <c r="H190" s="176">
        <v>8028</v>
      </c>
      <c r="I190" s="176">
        <v>228</v>
      </c>
      <c r="J190" s="176">
        <v>226.37200000000001</v>
      </c>
      <c r="K190" s="176"/>
      <c r="L190" s="177">
        <v>1.6279999999999999</v>
      </c>
      <c r="M190" s="178">
        <f t="shared" si="30"/>
        <v>226.37200000000001</v>
      </c>
      <c r="N190" s="466" t="s">
        <v>1719</v>
      </c>
      <c r="O190" s="455"/>
    </row>
    <row r="191" spans="1:15" ht="81" customHeight="1">
      <c r="A191" s="357">
        <v>3</v>
      </c>
      <c r="B191" s="467" t="s">
        <v>1591</v>
      </c>
      <c r="C191" s="466" t="s">
        <v>1800</v>
      </c>
      <c r="D191" s="176">
        <v>5000</v>
      </c>
      <c r="E191" s="176">
        <v>5000</v>
      </c>
      <c r="F191" s="201" t="s">
        <v>1796</v>
      </c>
      <c r="G191" s="201">
        <v>2023</v>
      </c>
      <c r="H191" s="176">
        <v>4970</v>
      </c>
      <c r="I191" s="176">
        <v>120</v>
      </c>
      <c r="J191" s="176">
        <v>81.72</v>
      </c>
      <c r="K191" s="176"/>
      <c r="L191" s="177">
        <v>38.28</v>
      </c>
      <c r="M191" s="178">
        <f t="shared" si="30"/>
        <v>81.72</v>
      </c>
      <c r="N191" s="466" t="s">
        <v>1719</v>
      </c>
      <c r="O191" s="455"/>
    </row>
    <row r="192" spans="1:15" ht="81" customHeight="1">
      <c r="A192" s="357">
        <v>4</v>
      </c>
      <c r="B192" s="467" t="s">
        <v>1593</v>
      </c>
      <c r="C192" s="466" t="s">
        <v>1799</v>
      </c>
      <c r="D192" s="176">
        <v>5600</v>
      </c>
      <c r="E192" s="176">
        <v>5600</v>
      </c>
      <c r="F192" s="201" t="s">
        <v>1796</v>
      </c>
      <c r="G192" s="201">
        <v>2023</v>
      </c>
      <c r="H192" s="176">
        <v>5585</v>
      </c>
      <c r="I192" s="176">
        <v>155</v>
      </c>
      <c r="J192" s="176">
        <v>145.55500000000001</v>
      </c>
      <c r="K192" s="176"/>
      <c r="L192" s="177">
        <v>9</v>
      </c>
      <c r="M192" s="178">
        <f t="shared" si="30"/>
        <v>146</v>
      </c>
      <c r="N192" s="466" t="s">
        <v>1719</v>
      </c>
      <c r="O192" s="455"/>
    </row>
    <row r="193" spans="1:26" ht="81" customHeight="1">
      <c r="A193" s="357">
        <v>5</v>
      </c>
      <c r="B193" s="467" t="s">
        <v>1595</v>
      </c>
      <c r="C193" s="466" t="s">
        <v>1798</v>
      </c>
      <c r="D193" s="176">
        <v>10000</v>
      </c>
      <c r="E193" s="176">
        <v>10000</v>
      </c>
      <c r="F193" s="201" t="s">
        <v>1796</v>
      </c>
      <c r="G193" s="201">
        <v>2023</v>
      </c>
      <c r="H193" s="176">
        <v>9991</v>
      </c>
      <c r="I193" s="176">
        <v>291</v>
      </c>
      <c r="J193" s="176">
        <v>41.320999999999998</v>
      </c>
      <c r="K193" s="176"/>
      <c r="L193" s="177">
        <v>250</v>
      </c>
      <c r="M193" s="178">
        <f t="shared" si="30"/>
        <v>41</v>
      </c>
      <c r="N193" s="466" t="s">
        <v>1719</v>
      </c>
      <c r="O193" s="455"/>
    </row>
    <row r="194" spans="1:26" s="485" customFormat="1" ht="59.25" customHeight="1">
      <c r="A194" s="481"/>
      <c r="B194" s="518" t="s">
        <v>1451</v>
      </c>
      <c r="C194" s="483"/>
      <c r="D194" s="206">
        <f>D195+D197</f>
        <v>25437</v>
      </c>
      <c r="E194" s="206">
        <f>E195+E197</f>
        <v>25437</v>
      </c>
      <c r="F194" s="207"/>
      <c r="G194" s="207"/>
      <c r="H194" s="206">
        <f>H195+H197</f>
        <v>25413</v>
      </c>
      <c r="I194" s="206">
        <f>I195+I197</f>
        <v>4334</v>
      </c>
      <c r="J194" s="206">
        <f>J195+J197</f>
        <v>4189.4979999999996</v>
      </c>
      <c r="K194" s="206">
        <f>K195+K197</f>
        <v>0</v>
      </c>
      <c r="L194" s="209">
        <f>L195+L197</f>
        <v>144.50199999999998</v>
      </c>
      <c r="M194" s="178">
        <f t="shared" si="30"/>
        <v>4189.4979999999996</v>
      </c>
      <c r="N194" s="484"/>
      <c r="O194" s="455"/>
    </row>
    <row r="195" spans="1:26" s="521" customFormat="1" ht="27.75" customHeight="1">
      <c r="A195" s="513" t="s">
        <v>96</v>
      </c>
      <c r="B195" s="480" t="s">
        <v>1797</v>
      </c>
      <c r="C195" s="519"/>
      <c r="D195" s="199">
        <f>D196</f>
        <v>11930</v>
      </c>
      <c r="E195" s="199">
        <f>E196</f>
        <v>11930</v>
      </c>
      <c r="F195" s="220"/>
      <c r="G195" s="220"/>
      <c r="H195" s="199">
        <f>H196</f>
        <v>11930</v>
      </c>
      <c r="I195" s="199">
        <f>I196</f>
        <v>330</v>
      </c>
      <c r="J195" s="199">
        <f>J196</f>
        <v>295.61200000000002</v>
      </c>
      <c r="K195" s="199">
        <f>K196</f>
        <v>0</v>
      </c>
      <c r="L195" s="200">
        <f>L196</f>
        <v>34.387999999999998</v>
      </c>
      <c r="M195" s="178">
        <f t="shared" si="30"/>
        <v>295.61200000000002</v>
      </c>
      <c r="N195" s="520"/>
      <c r="O195" s="455"/>
    </row>
    <row r="196" spans="1:26" ht="46.15">
      <c r="A196" s="357">
        <v>1</v>
      </c>
      <c r="B196" s="467" t="s">
        <v>1597</v>
      </c>
      <c r="C196" s="466" t="s">
        <v>1598</v>
      </c>
      <c r="D196" s="176">
        <v>11930</v>
      </c>
      <c r="E196" s="176">
        <v>11930</v>
      </c>
      <c r="F196" s="201" t="s">
        <v>1796</v>
      </c>
      <c r="G196" s="201">
        <v>2023</v>
      </c>
      <c r="H196" s="176">
        <v>11930</v>
      </c>
      <c r="I196" s="176">
        <v>330</v>
      </c>
      <c r="J196" s="176">
        <v>295.61200000000002</v>
      </c>
      <c r="K196" s="176"/>
      <c r="L196" s="177">
        <v>34.387999999999998</v>
      </c>
      <c r="M196" s="178">
        <f t="shared" si="30"/>
        <v>295.61200000000002</v>
      </c>
      <c r="N196" s="466" t="s">
        <v>1719</v>
      </c>
      <c r="O196" s="455"/>
    </row>
    <row r="197" spans="1:26" s="475" customFormat="1" ht="26.25" customHeight="1">
      <c r="A197" s="479" t="s">
        <v>97</v>
      </c>
      <c r="B197" s="480" t="s">
        <v>1723</v>
      </c>
      <c r="C197" s="473"/>
      <c r="D197" s="199">
        <f>SUM(D198:D204)</f>
        <v>13507</v>
      </c>
      <c r="E197" s="199">
        <f>SUM(E198:E204)</f>
        <v>13507</v>
      </c>
      <c r="F197" s="204"/>
      <c r="G197" s="204"/>
      <c r="H197" s="199">
        <f>SUM(H198:H204)</f>
        <v>13483</v>
      </c>
      <c r="I197" s="199">
        <f>SUM(I198:I204)</f>
        <v>4004</v>
      </c>
      <c r="J197" s="199">
        <f>SUM(J198:J204)</f>
        <v>3893.886</v>
      </c>
      <c r="K197" s="199">
        <f>SUM(K198:K204)</f>
        <v>0</v>
      </c>
      <c r="L197" s="200">
        <f>SUM(L198:L204)</f>
        <v>110.11399999999999</v>
      </c>
      <c r="M197" s="178">
        <f t="shared" si="30"/>
        <v>3893.886</v>
      </c>
      <c r="N197" s="474"/>
      <c r="O197" s="455"/>
    </row>
    <row r="198" spans="1:26" ht="70.5" customHeight="1">
      <c r="A198" s="357">
        <v>1</v>
      </c>
      <c r="B198" s="467" t="s">
        <v>1795</v>
      </c>
      <c r="C198" s="466" t="s">
        <v>1794</v>
      </c>
      <c r="D198" s="176">
        <v>2800</v>
      </c>
      <c r="E198" s="176">
        <v>2800</v>
      </c>
      <c r="F198" s="201" t="s">
        <v>1722</v>
      </c>
      <c r="G198" s="201">
        <v>2024</v>
      </c>
      <c r="H198" s="176">
        <v>2800</v>
      </c>
      <c r="I198" s="176">
        <v>1300</v>
      </c>
      <c r="J198" s="176">
        <v>1275.9780000000001</v>
      </c>
      <c r="K198" s="176"/>
      <c r="L198" s="177">
        <v>24.021999999999998</v>
      </c>
      <c r="M198" s="178">
        <f t="shared" si="30"/>
        <v>1275.9780000000001</v>
      </c>
      <c r="N198" s="466" t="s">
        <v>1719</v>
      </c>
      <c r="O198" s="455"/>
    </row>
    <row r="199" spans="1:26" ht="70.5" customHeight="1">
      <c r="A199" s="357">
        <v>2</v>
      </c>
      <c r="B199" s="467" t="s">
        <v>1599</v>
      </c>
      <c r="C199" s="466" t="s">
        <v>1600</v>
      </c>
      <c r="D199" s="176">
        <v>1100</v>
      </c>
      <c r="E199" s="176">
        <v>1100</v>
      </c>
      <c r="F199" s="201" t="s">
        <v>1722</v>
      </c>
      <c r="G199" s="201">
        <v>2024</v>
      </c>
      <c r="H199" s="176">
        <v>1094</v>
      </c>
      <c r="I199" s="176">
        <v>49</v>
      </c>
      <c r="J199" s="176">
        <v>20.905000000000001</v>
      </c>
      <c r="K199" s="176"/>
      <c r="L199" s="177">
        <v>28.094999999999999</v>
      </c>
      <c r="M199" s="178">
        <f t="shared" ref="M199:M204" si="31">I199+K199-L199</f>
        <v>20.905000000000001</v>
      </c>
      <c r="N199" s="466" t="s">
        <v>1719</v>
      </c>
      <c r="O199" s="455"/>
    </row>
    <row r="200" spans="1:26" ht="70.5" customHeight="1">
      <c r="A200" s="357">
        <v>3</v>
      </c>
      <c r="B200" s="467" t="s">
        <v>1601</v>
      </c>
      <c r="C200" s="466" t="s">
        <v>1602</v>
      </c>
      <c r="D200" s="176">
        <v>1607</v>
      </c>
      <c r="E200" s="176">
        <v>1607</v>
      </c>
      <c r="F200" s="201" t="s">
        <v>1722</v>
      </c>
      <c r="G200" s="201">
        <v>2024</v>
      </c>
      <c r="H200" s="176">
        <v>1607</v>
      </c>
      <c r="I200" s="176">
        <v>80</v>
      </c>
      <c r="J200" s="176">
        <v>37.770000000000003</v>
      </c>
      <c r="K200" s="176"/>
      <c r="L200" s="177">
        <v>42.23</v>
      </c>
      <c r="M200" s="178">
        <f t="shared" si="31"/>
        <v>37.770000000000003</v>
      </c>
      <c r="N200" s="466" t="s">
        <v>1719</v>
      </c>
      <c r="O200" s="455"/>
    </row>
    <row r="201" spans="1:26" ht="75" customHeight="1">
      <c r="A201" s="357">
        <v>4</v>
      </c>
      <c r="B201" s="467" t="s">
        <v>1603</v>
      </c>
      <c r="C201" s="466" t="s">
        <v>1604</v>
      </c>
      <c r="D201" s="176">
        <v>5500</v>
      </c>
      <c r="E201" s="176">
        <v>5500</v>
      </c>
      <c r="F201" s="201" t="s">
        <v>1722</v>
      </c>
      <c r="G201" s="201">
        <v>2024</v>
      </c>
      <c r="H201" s="176">
        <v>5500</v>
      </c>
      <c r="I201" s="176">
        <v>2500</v>
      </c>
      <c r="J201" s="176">
        <v>2488.6379999999999</v>
      </c>
      <c r="K201" s="176"/>
      <c r="L201" s="177">
        <v>11.362</v>
      </c>
      <c r="M201" s="178">
        <f t="shared" si="31"/>
        <v>2488.6379999999999</v>
      </c>
      <c r="N201" s="466" t="s">
        <v>1719</v>
      </c>
      <c r="O201" s="455"/>
    </row>
    <row r="202" spans="1:26" ht="75" customHeight="1">
      <c r="A202" s="357">
        <v>5</v>
      </c>
      <c r="B202" s="467" t="s">
        <v>1605</v>
      </c>
      <c r="C202" s="466" t="s">
        <v>1606</v>
      </c>
      <c r="D202" s="176">
        <v>1500</v>
      </c>
      <c r="E202" s="176">
        <v>1500</v>
      </c>
      <c r="F202" s="201" t="s">
        <v>1722</v>
      </c>
      <c r="G202" s="201">
        <v>2024</v>
      </c>
      <c r="H202" s="176">
        <v>1500</v>
      </c>
      <c r="I202" s="176">
        <v>75</v>
      </c>
      <c r="J202" s="176">
        <v>70.594999999999999</v>
      </c>
      <c r="K202" s="176"/>
      <c r="L202" s="177">
        <v>4.4050000000000002</v>
      </c>
      <c r="M202" s="178">
        <f t="shared" si="31"/>
        <v>70.594999999999999</v>
      </c>
      <c r="N202" s="466" t="s">
        <v>1719</v>
      </c>
      <c r="O202" s="455"/>
    </row>
    <row r="203" spans="1:26" ht="75" customHeight="1">
      <c r="A203" s="357">
        <v>6</v>
      </c>
      <c r="B203" s="467" t="s">
        <v>1793</v>
      </c>
      <c r="C203" s="466" t="s">
        <v>1608</v>
      </c>
      <c r="D203" s="176">
        <v>500</v>
      </c>
      <c r="E203" s="176">
        <v>500</v>
      </c>
      <c r="F203" s="201" t="s">
        <v>1722</v>
      </c>
      <c r="G203" s="201">
        <v>2024</v>
      </c>
      <c r="H203" s="176">
        <v>500</v>
      </c>
      <c r="I203" s="176">
        <v>0</v>
      </c>
      <c r="J203" s="176"/>
      <c r="K203" s="176"/>
      <c r="L203" s="176"/>
      <c r="M203" s="178">
        <f t="shared" si="31"/>
        <v>0</v>
      </c>
      <c r="N203" s="466" t="s">
        <v>1719</v>
      </c>
      <c r="O203" s="455"/>
    </row>
    <row r="204" spans="1:26" ht="75" customHeight="1">
      <c r="A204" s="357">
        <v>7</v>
      </c>
      <c r="B204" s="467" t="s">
        <v>1609</v>
      </c>
      <c r="C204" s="466" t="s">
        <v>1610</v>
      </c>
      <c r="D204" s="176">
        <v>500</v>
      </c>
      <c r="E204" s="176">
        <v>500</v>
      </c>
      <c r="F204" s="201" t="s">
        <v>1722</v>
      </c>
      <c r="G204" s="201">
        <v>2024</v>
      </c>
      <c r="H204" s="176">
        <v>482</v>
      </c>
      <c r="I204" s="176">
        <v>0</v>
      </c>
      <c r="J204" s="176"/>
      <c r="K204" s="176"/>
      <c r="L204" s="176"/>
      <c r="M204" s="178">
        <f t="shared" si="31"/>
        <v>0</v>
      </c>
      <c r="N204" s="466" t="s">
        <v>1719</v>
      </c>
      <c r="O204" s="455"/>
    </row>
    <row r="205" spans="1:26" s="489" customFormat="1" ht="15.4">
      <c r="A205" s="342" t="s">
        <v>1724</v>
      </c>
      <c r="B205" s="343" t="s">
        <v>403</v>
      </c>
      <c r="C205" s="347"/>
      <c r="D205" s="165">
        <f>D206+D211+D214+D230+D234</f>
        <v>192580</v>
      </c>
      <c r="E205" s="165">
        <f>E206+E211+E214+E230+E234</f>
        <v>192546</v>
      </c>
      <c r="F205" s="165"/>
      <c r="G205" s="165"/>
      <c r="H205" s="165">
        <f t="shared" ref="H205:M205" si="32">H206+H211+H214+H230+H234</f>
        <v>174687</v>
      </c>
      <c r="I205" s="165">
        <f t="shared" si="32"/>
        <v>21150</v>
      </c>
      <c r="J205" s="165">
        <f t="shared" si="32"/>
        <v>16161.583357</v>
      </c>
      <c r="K205" s="165">
        <f t="shared" si="32"/>
        <v>1581</v>
      </c>
      <c r="L205" s="165">
        <f t="shared" si="32"/>
        <v>1581.2829999999999</v>
      </c>
      <c r="M205" s="165">
        <f t="shared" si="32"/>
        <v>21149.717000000001</v>
      </c>
      <c r="N205" s="464"/>
      <c r="O205" s="455"/>
      <c r="P205" s="494"/>
      <c r="Q205" s="494"/>
      <c r="R205" s="494"/>
      <c r="S205" s="494"/>
      <c r="T205" s="494"/>
      <c r="U205" s="494"/>
      <c r="V205" s="494"/>
      <c r="W205" s="494"/>
      <c r="X205" s="494"/>
      <c r="Y205" s="494"/>
      <c r="Z205" s="494"/>
    </row>
    <row r="206" spans="1:26" s="489" customFormat="1" ht="64.5" customHeight="1">
      <c r="A206" s="292"/>
      <c r="B206" s="221" t="s">
        <v>1792</v>
      </c>
      <c r="C206" s="222"/>
      <c r="D206" s="223">
        <f>SUM(D207:D210)</f>
        <v>24159</v>
      </c>
      <c r="E206" s="223">
        <f>SUM(E207:E210)</f>
        <v>24159</v>
      </c>
      <c r="F206" s="223"/>
      <c r="G206" s="223"/>
      <c r="H206" s="223">
        <f>SUM(H207:H210)</f>
        <v>14159</v>
      </c>
      <c r="I206" s="223">
        <f>SUM(I207:I210)</f>
        <v>8059</v>
      </c>
      <c r="J206" s="223">
        <f>SUM(J207:J210)</f>
        <v>5915.862435</v>
      </c>
      <c r="K206" s="223">
        <f>SUM(K207:K210)</f>
        <v>1581</v>
      </c>
      <c r="L206" s="223">
        <f>SUM(L207:L210)</f>
        <v>265</v>
      </c>
      <c r="M206" s="178">
        <f t="shared" ref="M206:M235" si="33">I206+K206-L206</f>
        <v>9375</v>
      </c>
      <c r="N206" s="464"/>
      <c r="O206" s="455"/>
      <c r="P206" s="494"/>
      <c r="Q206" s="494"/>
      <c r="R206" s="494"/>
      <c r="S206" s="494"/>
      <c r="T206" s="494"/>
      <c r="U206" s="494"/>
      <c r="V206" s="494"/>
      <c r="W206" s="494"/>
      <c r="X206" s="494"/>
      <c r="Y206" s="494"/>
      <c r="Z206" s="494"/>
    </row>
    <row r="207" spans="1:26" s="489" customFormat="1" ht="54" customHeight="1">
      <c r="A207" s="292">
        <v>1</v>
      </c>
      <c r="B207" s="348" t="s">
        <v>1791</v>
      </c>
      <c r="C207" s="362" t="s">
        <v>1790</v>
      </c>
      <c r="D207" s="168">
        <v>3000</v>
      </c>
      <c r="E207" s="168">
        <v>3000</v>
      </c>
      <c r="F207" s="167" t="s">
        <v>1755</v>
      </c>
      <c r="G207" s="167">
        <v>2023</v>
      </c>
      <c r="H207" s="178">
        <v>3000</v>
      </c>
      <c r="I207" s="178">
        <v>700</v>
      </c>
      <c r="J207" s="178">
        <v>415.862435</v>
      </c>
      <c r="K207" s="191"/>
      <c r="L207" s="191">
        <v>205</v>
      </c>
      <c r="M207" s="178">
        <f t="shared" si="33"/>
        <v>495</v>
      </c>
      <c r="N207" s="464"/>
      <c r="O207" s="455"/>
      <c r="P207" s="494"/>
      <c r="Q207" s="494"/>
      <c r="R207" s="494"/>
      <c r="S207" s="494"/>
      <c r="T207" s="494"/>
      <c r="U207" s="494"/>
      <c r="V207" s="494"/>
      <c r="W207" s="494"/>
      <c r="X207" s="494"/>
      <c r="Y207" s="494"/>
      <c r="Z207" s="494"/>
    </row>
    <row r="208" spans="1:26" s="489" customFormat="1" ht="54" customHeight="1">
      <c r="A208" s="292">
        <v>2</v>
      </c>
      <c r="B208" s="348" t="s">
        <v>1789</v>
      </c>
      <c r="C208" s="362" t="s">
        <v>1788</v>
      </c>
      <c r="D208" s="168">
        <v>5659</v>
      </c>
      <c r="E208" s="168">
        <v>5659</v>
      </c>
      <c r="F208" s="167" t="s">
        <v>1755</v>
      </c>
      <c r="G208" s="167">
        <v>2023</v>
      </c>
      <c r="H208" s="178">
        <v>5659</v>
      </c>
      <c r="I208" s="178">
        <v>1859</v>
      </c>
      <c r="J208" s="178"/>
      <c r="K208" s="191"/>
      <c r="L208" s="191">
        <v>60</v>
      </c>
      <c r="M208" s="178">
        <f t="shared" si="33"/>
        <v>1799</v>
      </c>
      <c r="N208" s="464"/>
      <c r="O208" s="455"/>
      <c r="P208" s="494"/>
      <c r="Q208" s="494"/>
      <c r="R208" s="494"/>
      <c r="S208" s="494"/>
      <c r="T208" s="494"/>
      <c r="U208" s="494"/>
      <c r="V208" s="494"/>
      <c r="W208" s="494"/>
      <c r="X208" s="494"/>
      <c r="Y208" s="494"/>
      <c r="Z208" s="494"/>
    </row>
    <row r="209" spans="1:26" s="492" customFormat="1" ht="54" customHeight="1">
      <c r="A209" s="292">
        <v>3</v>
      </c>
      <c r="B209" s="316" t="s">
        <v>1787</v>
      </c>
      <c r="C209" s="274" t="s">
        <v>1786</v>
      </c>
      <c r="D209" s="168">
        <v>7000</v>
      </c>
      <c r="E209" s="168">
        <v>7000</v>
      </c>
      <c r="F209" s="167" t="s">
        <v>1785</v>
      </c>
      <c r="G209" s="211" t="s">
        <v>1193</v>
      </c>
      <c r="H209" s="178">
        <v>3000</v>
      </c>
      <c r="I209" s="178">
        <v>3000</v>
      </c>
      <c r="J209" s="178">
        <v>3000</v>
      </c>
      <c r="K209" s="178">
        <v>1581</v>
      </c>
      <c r="L209" s="168"/>
      <c r="M209" s="178">
        <f t="shared" si="33"/>
        <v>4581</v>
      </c>
      <c r="N209" s="493"/>
      <c r="O209" s="455"/>
      <c r="P209" s="491"/>
      <c r="Q209" s="491"/>
      <c r="R209" s="491"/>
      <c r="S209" s="491"/>
      <c r="T209" s="491"/>
      <c r="U209" s="491"/>
      <c r="V209" s="491"/>
      <c r="W209" s="491"/>
      <c r="X209" s="491"/>
      <c r="Y209" s="491"/>
      <c r="Z209" s="491"/>
    </row>
    <row r="210" spans="1:26" s="492" customFormat="1" ht="54" customHeight="1">
      <c r="A210" s="292">
        <v>4</v>
      </c>
      <c r="B210" s="316" t="s">
        <v>1626</v>
      </c>
      <c r="C210" s="274" t="s">
        <v>1627</v>
      </c>
      <c r="D210" s="168">
        <v>8500</v>
      </c>
      <c r="E210" s="168">
        <v>8500</v>
      </c>
      <c r="F210" s="167" t="s">
        <v>1785</v>
      </c>
      <c r="G210" s="211" t="s">
        <v>1193</v>
      </c>
      <c r="H210" s="178">
        <v>2500</v>
      </c>
      <c r="I210" s="178">
        <v>2500</v>
      </c>
      <c r="J210" s="178">
        <v>2500</v>
      </c>
      <c r="K210" s="178"/>
      <c r="L210" s="168"/>
      <c r="M210" s="178">
        <f t="shared" si="33"/>
        <v>2500</v>
      </c>
      <c r="N210" s="347" t="s">
        <v>2012</v>
      </c>
      <c r="O210" s="455"/>
      <c r="P210" s="491"/>
      <c r="Q210" s="491"/>
      <c r="R210" s="491"/>
      <c r="S210" s="491"/>
      <c r="T210" s="491"/>
      <c r="U210" s="491"/>
      <c r="V210" s="491"/>
      <c r="W210" s="491"/>
      <c r="X210" s="491"/>
      <c r="Y210" s="491"/>
      <c r="Z210" s="491"/>
    </row>
    <row r="211" spans="1:26" s="489" customFormat="1" ht="70.5" customHeight="1">
      <c r="A211" s="292"/>
      <c r="B211" s="221" t="s">
        <v>1784</v>
      </c>
      <c r="C211" s="222"/>
      <c r="D211" s="223">
        <f>D212+D213</f>
        <v>65071</v>
      </c>
      <c r="E211" s="223">
        <f>E212+E213</f>
        <v>65071</v>
      </c>
      <c r="F211" s="223"/>
      <c r="G211" s="223">
        <f t="shared" ref="G211:L211" si="34">G212+G213</f>
        <v>4044</v>
      </c>
      <c r="H211" s="223">
        <f t="shared" si="34"/>
        <v>61916</v>
      </c>
      <c r="I211" s="223">
        <f t="shared" si="34"/>
        <v>5296</v>
      </c>
      <c r="J211" s="223">
        <f t="shared" si="34"/>
        <v>5296</v>
      </c>
      <c r="K211" s="223">
        <f t="shared" si="34"/>
        <v>0</v>
      </c>
      <c r="L211" s="223">
        <f t="shared" si="34"/>
        <v>0</v>
      </c>
      <c r="M211" s="178">
        <f t="shared" si="33"/>
        <v>5296</v>
      </c>
      <c r="N211" s="464"/>
      <c r="O211" s="455"/>
      <c r="P211" s="494"/>
      <c r="Q211" s="494"/>
      <c r="R211" s="494"/>
      <c r="S211" s="494"/>
      <c r="T211" s="494"/>
      <c r="U211" s="494"/>
      <c r="V211" s="494"/>
      <c r="W211" s="494"/>
      <c r="X211" s="494"/>
      <c r="Y211" s="494"/>
      <c r="Z211" s="494"/>
    </row>
    <row r="212" spans="1:26" s="492" customFormat="1" ht="70.5" customHeight="1">
      <c r="A212" s="292">
        <v>1</v>
      </c>
      <c r="B212" s="316" t="s">
        <v>1783</v>
      </c>
      <c r="C212" s="274" t="s">
        <v>1782</v>
      </c>
      <c r="D212" s="168">
        <v>30000</v>
      </c>
      <c r="E212" s="168">
        <v>30000</v>
      </c>
      <c r="F212" s="167" t="s">
        <v>1779</v>
      </c>
      <c r="G212" s="211" t="s">
        <v>1773</v>
      </c>
      <c r="H212" s="178">
        <v>23846</v>
      </c>
      <c r="I212" s="178">
        <v>1000</v>
      </c>
      <c r="J212" s="178">
        <f>+I212</f>
        <v>1000</v>
      </c>
      <c r="K212" s="160"/>
      <c r="L212" s="168"/>
      <c r="M212" s="178">
        <f t="shared" si="33"/>
        <v>1000</v>
      </c>
      <c r="N212" s="493"/>
      <c r="O212" s="455"/>
      <c r="P212" s="491"/>
      <c r="Q212" s="491"/>
      <c r="R212" s="491"/>
      <c r="S212" s="491"/>
      <c r="T212" s="491"/>
      <c r="U212" s="491"/>
      <c r="V212" s="491"/>
      <c r="W212" s="491"/>
      <c r="X212" s="491"/>
      <c r="Y212" s="491"/>
      <c r="Z212" s="491"/>
    </row>
    <row r="213" spans="1:26" s="492" customFormat="1" ht="70.5" customHeight="1">
      <c r="A213" s="292">
        <v>2</v>
      </c>
      <c r="B213" s="316" t="s">
        <v>1781</v>
      </c>
      <c r="C213" s="274" t="s">
        <v>1780</v>
      </c>
      <c r="D213" s="168">
        <v>35071</v>
      </c>
      <c r="E213" s="168">
        <v>35071</v>
      </c>
      <c r="F213" s="167" t="s">
        <v>1779</v>
      </c>
      <c r="G213" s="211" t="s">
        <v>1773</v>
      </c>
      <c r="H213" s="178">
        <v>38070</v>
      </c>
      <c r="I213" s="178">
        <v>4296</v>
      </c>
      <c r="J213" s="178">
        <v>4296</v>
      </c>
      <c r="K213" s="160"/>
      <c r="L213" s="168"/>
      <c r="M213" s="178">
        <f t="shared" si="33"/>
        <v>4296</v>
      </c>
      <c r="N213" s="493"/>
      <c r="O213" s="455"/>
      <c r="P213" s="491"/>
      <c r="Q213" s="491"/>
      <c r="R213" s="491"/>
      <c r="S213" s="491"/>
      <c r="T213" s="491"/>
      <c r="U213" s="491"/>
      <c r="V213" s="491"/>
      <c r="W213" s="491"/>
      <c r="X213" s="491"/>
      <c r="Y213" s="491"/>
      <c r="Z213" s="491"/>
    </row>
    <row r="214" spans="1:26" s="489" customFormat="1" ht="120" customHeight="1">
      <c r="A214" s="292"/>
      <c r="B214" s="522" t="s">
        <v>1401</v>
      </c>
      <c r="C214" s="363"/>
      <c r="D214" s="224">
        <f t="shared" ref="D214:L214" si="35">SUM(D215:D229)</f>
        <v>96411</v>
      </c>
      <c r="E214" s="224">
        <f t="shared" si="35"/>
        <v>96411</v>
      </c>
      <c r="F214" s="224">
        <f t="shared" si="35"/>
        <v>0</v>
      </c>
      <c r="G214" s="224"/>
      <c r="H214" s="224">
        <f t="shared" si="35"/>
        <v>93521</v>
      </c>
      <c r="I214" s="224">
        <f t="shared" si="35"/>
        <v>7770</v>
      </c>
      <c r="J214" s="224">
        <f t="shared" si="35"/>
        <v>4949.7209220000004</v>
      </c>
      <c r="K214" s="224">
        <f t="shared" si="35"/>
        <v>0</v>
      </c>
      <c r="L214" s="224">
        <f t="shared" si="35"/>
        <v>1291.2829999999999</v>
      </c>
      <c r="M214" s="178">
        <f t="shared" si="33"/>
        <v>6478.7170000000006</v>
      </c>
      <c r="N214" s="464"/>
      <c r="O214" s="455"/>
      <c r="P214" s="494"/>
      <c r="Q214" s="494"/>
      <c r="R214" s="494"/>
      <c r="S214" s="494"/>
      <c r="T214" s="494"/>
      <c r="U214" s="494"/>
      <c r="V214" s="494"/>
      <c r="W214" s="494"/>
      <c r="X214" s="494"/>
      <c r="Y214" s="494"/>
      <c r="Z214" s="494"/>
    </row>
    <row r="215" spans="1:26" s="492" customFormat="1" ht="72" customHeight="1">
      <c r="A215" s="292">
        <v>1</v>
      </c>
      <c r="B215" s="316" t="s">
        <v>1778</v>
      </c>
      <c r="C215" s="274" t="s">
        <v>1777</v>
      </c>
      <c r="D215" s="168">
        <v>15920</v>
      </c>
      <c r="E215" s="168">
        <v>15920</v>
      </c>
      <c r="F215" s="167" t="s">
        <v>1774</v>
      </c>
      <c r="G215" s="211" t="s">
        <v>1773</v>
      </c>
      <c r="H215" s="178">
        <v>15920</v>
      </c>
      <c r="I215" s="178"/>
      <c r="J215" s="178"/>
      <c r="K215" s="160"/>
      <c r="L215" s="168"/>
      <c r="M215" s="178">
        <f t="shared" si="33"/>
        <v>0</v>
      </c>
      <c r="N215" s="493"/>
      <c r="O215" s="455"/>
      <c r="P215" s="491"/>
      <c r="Q215" s="491"/>
      <c r="R215" s="491"/>
      <c r="S215" s="491"/>
      <c r="T215" s="491"/>
      <c r="U215" s="491"/>
      <c r="V215" s="491"/>
      <c r="W215" s="491"/>
      <c r="X215" s="491"/>
      <c r="Y215" s="491"/>
      <c r="Z215" s="491"/>
    </row>
    <row r="216" spans="1:26" s="492" customFormat="1" ht="72" customHeight="1">
      <c r="A216" s="292">
        <v>2</v>
      </c>
      <c r="B216" s="316" t="s">
        <v>1776</v>
      </c>
      <c r="C216" s="274" t="s">
        <v>1775</v>
      </c>
      <c r="D216" s="168">
        <v>18000</v>
      </c>
      <c r="E216" s="168">
        <v>18000</v>
      </c>
      <c r="F216" s="167" t="s">
        <v>1774</v>
      </c>
      <c r="G216" s="211" t="s">
        <v>1773</v>
      </c>
      <c r="H216" s="178">
        <v>17597</v>
      </c>
      <c r="I216" s="178"/>
      <c r="J216" s="178"/>
      <c r="K216" s="160"/>
      <c r="L216" s="168"/>
      <c r="M216" s="178">
        <f t="shared" si="33"/>
        <v>0</v>
      </c>
      <c r="N216" s="493"/>
      <c r="O216" s="455"/>
      <c r="P216" s="491"/>
      <c r="Q216" s="491"/>
      <c r="R216" s="491"/>
      <c r="S216" s="491"/>
      <c r="T216" s="491"/>
      <c r="U216" s="491"/>
      <c r="V216" s="491"/>
      <c r="W216" s="491"/>
      <c r="X216" s="491"/>
      <c r="Y216" s="491"/>
      <c r="Z216" s="491"/>
    </row>
    <row r="217" spans="1:26" s="492" customFormat="1" ht="72" customHeight="1">
      <c r="A217" s="292">
        <v>3</v>
      </c>
      <c r="B217" s="316" t="s">
        <v>1772</v>
      </c>
      <c r="C217" s="274" t="s">
        <v>1771</v>
      </c>
      <c r="D217" s="168">
        <v>11000</v>
      </c>
      <c r="E217" s="168">
        <v>11000</v>
      </c>
      <c r="F217" s="167" t="s">
        <v>1768</v>
      </c>
      <c r="G217" s="211" t="s">
        <v>1731</v>
      </c>
      <c r="H217" s="160">
        <v>10930</v>
      </c>
      <c r="I217" s="160"/>
      <c r="J217" s="160"/>
      <c r="K217" s="160"/>
      <c r="L217" s="168"/>
      <c r="M217" s="178">
        <f t="shared" si="33"/>
        <v>0</v>
      </c>
      <c r="N217" s="493"/>
      <c r="O217" s="455"/>
      <c r="P217" s="491"/>
      <c r="Q217" s="491"/>
      <c r="R217" s="491"/>
      <c r="S217" s="491"/>
      <c r="T217" s="491"/>
      <c r="U217" s="491"/>
      <c r="V217" s="491"/>
      <c r="W217" s="491"/>
      <c r="X217" s="491"/>
      <c r="Y217" s="491"/>
      <c r="Z217" s="491"/>
    </row>
    <row r="218" spans="1:26" s="492" customFormat="1" ht="72" customHeight="1">
      <c r="A218" s="292">
        <v>4</v>
      </c>
      <c r="B218" s="316" t="s">
        <v>1770</v>
      </c>
      <c r="C218" s="274" t="s">
        <v>1769</v>
      </c>
      <c r="D218" s="168">
        <v>6000</v>
      </c>
      <c r="E218" s="168">
        <v>6000</v>
      </c>
      <c r="F218" s="167" t="s">
        <v>1768</v>
      </c>
      <c r="G218" s="211" t="s">
        <v>1731</v>
      </c>
      <c r="H218" s="160">
        <v>4822</v>
      </c>
      <c r="I218" s="160"/>
      <c r="J218" s="160"/>
      <c r="K218" s="160"/>
      <c r="L218" s="168"/>
      <c r="M218" s="178">
        <f t="shared" si="33"/>
        <v>0</v>
      </c>
      <c r="N218" s="493"/>
      <c r="O218" s="455"/>
      <c r="P218" s="491"/>
      <c r="Q218" s="491"/>
      <c r="R218" s="491"/>
      <c r="S218" s="491"/>
      <c r="T218" s="491"/>
      <c r="U218" s="491"/>
      <c r="V218" s="491"/>
      <c r="W218" s="491"/>
      <c r="X218" s="491"/>
      <c r="Y218" s="491"/>
      <c r="Z218" s="491"/>
    </row>
    <row r="219" spans="1:26" s="525" customFormat="1" ht="72" customHeight="1">
      <c r="A219" s="292">
        <v>9</v>
      </c>
      <c r="B219" s="523" t="s">
        <v>1767</v>
      </c>
      <c r="C219" s="353" t="s">
        <v>1643</v>
      </c>
      <c r="D219" s="167">
        <v>1200</v>
      </c>
      <c r="E219" s="167">
        <v>1200</v>
      </c>
      <c r="F219" s="167" t="s">
        <v>1725</v>
      </c>
      <c r="G219" s="167">
        <v>2023</v>
      </c>
      <c r="H219" s="160">
        <v>1040</v>
      </c>
      <c r="I219" s="160">
        <v>62</v>
      </c>
      <c r="J219" s="160"/>
      <c r="K219" s="225"/>
      <c r="L219" s="225">
        <v>62</v>
      </c>
      <c r="M219" s="178">
        <f t="shared" si="33"/>
        <v>0</v>
      </c>
      <c r="N219" s="524"/>
      <c r="O219" s="455"/>
    </row>
    <row r="220" spans="1:26" s="527" customFormat="1" ht="63.75" customHeight="1">
      <c r="A220" s="292">
        <v>10</v>
      </c>
      <c r="B220" s="348" t="s">
        <v>1637</v>
      </c>
      <c r="C220" s="362" t="s">
        <v>1638</v>
      </c>
      <c r="D220" s="173">
        <v>4000</v>
      </c>
      <c r="E220" s="173">
        <v>4000</v>
      </c>
      <c r="F220" s="173" t="s">
        <v>1755</v>
      </c>
      <c r="G220" s="173">
        <v>2023</v>
      </c>
      <c r="H220" s="168">
        <v>3200</v>
      </c>
      <c r="I220" s="168"/>
      <c r="J220" s="168"/>
      <c r="K220" s="168"/>
      <c r="L220" s="168"/>
      <c r="M220" s="178">
        <f t="shared" si="33"/>
        <v>0</v>
      </c>
      <c r="N220" s="347" t="s">
        <v>2013</v>
      </c>
      <c r="O220" s="455"/>
      <c r="P220" s="526"/>
      <c r="Q220" s="526"/>
      <c r="R220" s="526"/>
      <c r="S220" s="526"/>
      <c r="T220" s="526"/>
      <c r="U220" s="526"/>
      <c r="V220" s="526"/>
      <c r="W220" s="526"/>
      <c r="X220" s="526"/>
      <c r="Y220" s="526"/>
      <c r="Z220" s="526"/>
    </row>
    <row r="221" spans="1:26" s="527" customFormat="1" ht="48.75" customHeight="1">
      <c r="A221" s="292">
        <v>11</v>
      </c>
      <c r="B221" s="348" t="s">
        <v>1766</v>
      </c>
      <c r="C221" s="362" t="s">
        <v>1765</v>
      </c>
      <c r="D221" s="173">
        <v>5000</v>
      </c>
      <c r="E221" s="173">
        <v>5000</v>
      </c>
      <c r="F221" s="173" t="s">
        <v>1755</v>
      </c>
      <c r="G221" s="173">
        <v>2023</v>
      </c>
      <c r="H221" s="168">
        <v>5000</v>
      </c>
      <c r="I221" s="168">
        <v>150</v>
      </c>
      <c r="J221" s="168">
        <v>102.717</v>
      </c>
      <c r="K221" s="168"/>
      <c r="L221" s="168">
        <f>I221-J221</f>
        <v>47.283000000000001</v>
      </c>
      <c r="M221" s="178">
        <f t="shared" si="33"/>
        <v>102.717</v>
      </c>
      <c r="N221" s="347" t="s">
        <v>2013</v>
      </c>
      <c r="O221" s="455"/>
      <c r="P221" s="526"/>
      <c r="Q221" s="526"/>
      <c r="R221" s="526"/>
      <c r="S221" s="526"/>
      <c r="T221" s="526"/>
      <c r="U221" s="526"/>
      <c r="V221" s="526"/>
      <c r="W221" s="526"/>
      <c r="X221" s="526"/>
      <c r="Y221" s="526"/>
      <c r="Z221" s="526"/>
    </row>
    <row r="222" spans="1:26" s="527" customFormat="1" ht="48.75" customHeight="1">
      <c r="A222" s="292">
        <v>12</v>
      </c>
      <c r="B222" s="348" t="s">
        <v>1644</v>
      </c>
      <c r="C222" s="362" t="s">
        <v>1645</v>
      </c>
      <c r="D222" s="173">
        <v>6000</v>
      </c>
      <c r="E222" s="173">
        <v>6000</v>
      </c>
      <c r="F222" s="173" t="s">
        <v>1755</v>
      </c>
      <c r="G222" s="173">
        <v>2023</v>
      </c>
      <c r="H222" s="168">
        <v>6000</v>
      </c>
      <c r="I222" s="168">
        <v>321</v>
      </c>
      <c r="J222" s="168"/>
      <c r="K222" s="168"/>
      <c r="L222" s="168">
        <f>I222</f>
        <v>321</v>
      </c>
      <c r="M222" s="178">
        <f t="shared" si="33"/>
        <v>0</v>
      </c>
      <c r="N222" s="347" t="s">
        <v>2013</v>
      </c>
      <c r="O222" s="455"/>
      <c r="P222" s="526"/>
      <c r="Q222" s="526"/>
      <c r="R222" s="526"/>
      <c r="S222" s="526"/>
      <c r="T222" s="526"/>
      <c r="U222" s="526"/>
      <c r="V222" s="526"/>
      <c r="W222" s="526"/>
      <c r="X222" s="526"/>
      <c r="Y222" s="526"/>
      <c r="Z222" s="526"/>
    </row>
    <row r="223" spans="1:26" s="527" customFormat="1" ht="48.75" customHeight="1">
      <c r="A223" s="292">
        <v>13</v>
      </c>
      <c r="B223" s="348" t="s">
        <v>1646</v>
      </c>
      <c r="C223" s="362" t="s">
        <v>1647</v>
      </c>
      <c r="D223" s="173">
        <v>10945</v>
      </c>
      <c r="E223" s="173">
        <v>10945</v>
      </c>
      <c r="F223" s="173" t="s">
        <v>1755</v>
      </c>
      <c r="G223" s="173">
        <v>2023</v>
      </c>
      <c r="H223" s="168">
        <v>10945</v>
      </c>
      <c r="I223" s="168">
        <v>4545</v>
      </c>
      <c r="J223" s="168">
        <v>3898.4029999999998</v>
      </c>
      <c r="K223" s="168"/>
      <c r="L223" s="168">
        <v>515</v>
      </c>
      <c r="M223" s="178">
        <f t="shared" si="33"/>
        <v>4030</v>
      </c>
      <c r="N223" s="347" t="s">
        <v>2013</v>
      </c>
      <c r="O223" s="455"/>
      <c r="P223" s="526"/>
      <c r="Q223" s="526"/>
      <c r="R223" s="526"/>
      <c r="S223" s="526"/>
      <c r="T223" s="526"/>
      <c r="U223" s="526"/>
      <c r="V223" s="526"/>
      <c r="W223" s="526"/>
      <c r="X223" s="526"/>
      <c r="Y223" s="526"/>
      <c r="Z223" s="526"/>
    </row>
    <row r="224" spans="1:26" s="527" customFormat="1" ht="48.75" customHeight="1">
      <c r="A224" s="292">
        <v>14</v>
      </c>
      <c r="B224" s="348" t="s">
        <v>1648</v>
      </c>
      <c r="C224" s="362" t="s">
        <v>1649</v>
      </c>
      <c r="D224" s="173">
        <v>5500</v>
      </c>
      <c r="E224" s="173">
        <v>5500</v>
      </c>
      <c r="F224" s="173" t="s">
        <v>1755</v>
      </c>
      <c r="G224" s="173">
        <v>2023</v>
      </c>
      <c r="H224" s="168">
        <v>5196</v>
      </c>
      <c r="I224" s="168">
        <v>1396</v>
      </c>
      <c r="J224" s="168"/>
      <c r="K224" s="168"/>
      <c r="L224" s="168"/>
      <c r="M224" s="178">
        <f t="shared" si="33"/>
        <v>1396</v>
      </c>
      <c r="N224" s="528"/>
      <c r="O224" s="455"/>
      <c r="P224" s="526"/>
      <c r="Q224" s="526"/>
      <c r="R224" s="526"/>
      <c r="S224" s="526"/>
      <c r="T224" s="526"/>
      <c r="U224" s="526"/>
      <c r="V224" s="526"/>
      <c r="W224" s="526"/>
      <c r="X224" s="526"/>
      <c r="Y224" s="526"/>
      <c r="Z224" s="526"/>
    </row>
    <row r="225" spans="1:26" s="527" customFormat="1" ht="48.75" customHeight="1">
      <c r="A225" s="292">
        <v>15</v>
      </c>
      <c r="B225" s="348" t="s">
        <v>1651</v>
      </c>
      <c r="C225" s="362" t="s">
        <v>1652</v>
      </c>
      <c r="D225" s="173">
        <v>3000</v>
      </c>
      <c r="E225" s="173">
        <v>3000</v>
      </c>
      <c r="F225" s="173" t="s">
        <v>1755</v>
      </c>
      <c r="G225" s="173">
        <v>2023</v>
      </c>
      <c r="H225" s="168">
        <v>3000</v>
      </c>
      <c r="I225" s="168"/>
      <c r="J225" s="168"/>
      <c r="K225" s="168"/>
      <c r="L225" s="168"/>
      <c r="M225" s="178">
        <f t="shared" si="33"/>
        <v>0</v>
      </c>
      <c r="N225" s="347" t="s">
        <v>2014</v>
      </c>
      <c r="O225" s="455"/>
      <c r="P225" s="526"/>
      <c r="Q225" s="526"/>
      <c r="R225" s="526"/>
      <c r="S225" s="526"/>
      <c r="T225" s="526"/>
      <c r="U225" s="526"/>
      <c r="V225" s="526"/>
      <c r="W225" s="526"/>
      <c r="X225" s="526"/>
      <c r="Y225" s="526"/>
      <c r="Z225" s="526"/>
    </row>
    <row r="226" spans="1:26" s="527" customFormat="1" ht="48.75" customHeight="1">
      <c r="A226" s="292">
        <v>16</v>
      </c>
      <c r="B226" s="348" t="s">
        <v>1653</v>
      </c>
      <c r="C226" s="362" t="s">
        <v>1654</v>
      </c>
      <c r="D226" s="173">
        <v>1500</v>
      </c>
      <c r="E226" s="173">
        <v>1500</v>
      </c>
      <c r="F226" s="173" t="s">
        <v>1755</v>
      </c>
      <c r="G226" s="173">
        <v>2023</v>
      </c>
      <c r="H226" s="168">
        <v>1500</v>
      </c>
      <c r="I226" s="168"/>
      <c r="J226" s="168"/>
      <c r="K226" s="168"/>
      <c r="L226" s="168"/>
      <c r="M226" s="178">
        <f t="shared" si="33"/>
        <v>0</v>
      </c>
      <c r="N226" s="347" t="s">
        <v>2014</v>
      </c>
      <c r="O226" s="455"/>
      <c r="P226" s="526"/>
      <c r="Q226" s="526"/>
      <c r="R226" s="526"/>
      <c r="S226" s="526"/>
      <c r="T226" s="526"/>
      <c r="U226" s="526"/>
      <c r="V226" s="526"/>
      <c r="W226" s="526"/>
      <c r="X226" s="526"/>
      <c r="Y226" s="526"/>
      <c r="Z226" s="526"/>
    </row>
    <row r="227" spans="1:26" s="527" customFormat="1" ht="61.5" customHeight="1">
      <c r="A227" s="292">
        <v>17</v>
      </c>
      <c r="B227" s="348" t="s">
        <v>1764</v>
      </c>
      <c r="C227" s="362" t="s">
        <v>1656</v>
      </c>
      <c r="D227" s="173">
        <v>4933</v>
      </c>
      <c r="E227" s="173">
        <v>4933</v>
      </c>
      <c r="F227" s="173" t="s">
        <v>1755</v>
      </c>
      <c r="G227" s="173">
        <v>2023</v>
      </c>
      <c r="H227" s="168">
        <v>4933</v>
      </c>
      <c r="I227" s="168">
        <v>1133</v>
      </c>
      <c r="J227" s="168">
        <v>867.20299999999997</v>
      </c>
      <c r="K227" s="168"/>
      <c r="L227" s="168">
        <v>265</v>
      </c>
      <c r="M227" s="178">
        <f t="shared" si="33"/>
        <v>868</v>
      </c>
      <c r="N227" s="347" t="s">
        <v>2014</v>
      </c>
      <c r="O227" s="455"/>
      <c r="P227" s="526"/>
      <c r="Q227" s="526"/>
      <c r="R227" s="526"/>
      <c r="S227" s="526"/>
      <c r="T227" s="526"/>
      <c r="U227" s="526"/>
      <c r="V227" s="526"/>
      <c r="W227" s="526"/>
      <c r="X227" s="526"/>
      <c r="Y227" s="526"/>
      <c r="Z227" s="526"/>
    </row>
    <row r="228" spans="1:26" s="527" customFormat="1" ht="48.75" customHeight="1">
      <c r="A228" s="292">
        <v>18</v>
      </c>
      <c r="B228" s="348" t="s">
        <v>1657</v>
      </c>
      <c r="C228" s="362" t="s">
        <v>1658</v>
      </c>
      <c r="D228" s="173">
        <v>2038</v>
      </c>
      <c r="E228" s="173">
        <v>2038</v>
      </c>
      <c r="F228" s="173" t="s">
        <v>1755</v>
      </c>
      <c r="G228" s="173">
        <v>2023</v>
      </c>
      <c r="H228" s="168">
        <v>2038</v>
      </c>
      <c r="I228" s="168">
        <v>138</v>
      </c>
      <c r="J228" s="168">
        <v>81.397921999999994</v>
      </c>
      <c r="K228" s="168"/>
      <c r="L228" s="168">
        <v>56</v>
      </c>
      <c r="M228" s="178">
        <f t="shared" si="33"/>
        <v>82</v>
      </c>
      <c r="N228" s="347" t="s">
        <v>2014</v>
      </c>
      <c r="O228" s="455"/>
      <c r="P228" s="526"/>
      <c r="Q228" s="526"/>
      <c r="R228" s="526"/>
      <c r="S228" s="526"/>
      <c r="T228" s="526"/>
      <c r="U228" s="526"/>
      <c r="V228" s="526"/>
      <c r="W228" s="526"/>
      <c r="X228" s="526"/>
      <c r="Y228" s="526"/>
      <c r="Z228" s="526"/>
    </row>
    <row r="229" spans="1:26" s="527" customFormat="1" ht="48.75" customHeight="1">
      <c r="A229" s="292">
        <v>20</v>
      </c>
      <c r="B229" s="350" t="s">
        <v>1756</v>
      </c>
      <c r="C229" s="529" t="s">
        <v>1667</v>
      </c>
      <c r="D229" s="175">
        <v>1375</v>
      </c>
      <c r="E229" s="175">
        <v>1375</v>
      </c>
      <c r="F229" s="173" t="s">
        <v>1755</v>
      </c>
      <c r="G229" s="173">
        <v>2023</v>
      </c>
      <c r="H229" s="168">
        <v>1400</v>
      </c>
      <c r="I229" s="168">
        <v>25</v>
      </c>
      <c r="J229" s="168"/>
      <c r="K229" s="168"/>
      <c r="L229" s="168">
        <v>25</v>
      </c>
      <c r="M229" s="178">
        <f t="shared" si="33"/>
        <v>0</v>
      </c>
      <c r="N229" s="347" t="s">
        <v>2014</v>
      </c>
      <c r="O229" s="455"/>
      <c r="P229" s="526"/>
      <c r="Q229" s="526"/>
      <c r="R229" s="526"/>
      <c r="S229" s="526"/>
      <c r="T229" s="526"/>
      <c r="U229" s="526"/>
      <c r="V229" s="526"/>
      <c r="W229" s="526"/>
      <c r="X229" s="526"/>
      <c r="Y229" s="526"/>
      <c r="Z229" s="526"/>
    </row>
    <row r="230" spans="1:26" s="489" customFormat="1" ht="72" customHeight="1">
      <c r="A230" s="292"/>
      <c r="B230" s="530" t="s">
        <v>1763</v>
      </c>
      <c r="C230" s="312"/>
      <c r="D230" s="159">
        <f t="shared" ref="D230:L230" si="36">SUM(D231:D233)</f>
        <v>5564</v>
      </c>
      <c r="E230" s="159">
        <f t="shared" si="36"/>
        <v>5530</v>
      </c>
      <c r="F230" s="159">
        <f t="shared" si="36"/>
        <v>4050</v>
      </c>
      <c r="G230" s="159">
        <f t="shared" si="36"/>
        <v>0</v>
      </c>
      <c r="H230" s="159">
        <f t="shared" si="36"/>
        <v>5066</v>
      </c>
      <c r="I230" s="159">
        <f t="shared" si="36"/>
        <v>0</v>
      </c>
      <c r="J230" s="159">
        <f t="shared" si="36"/>
        <v>0</v>
      </c>
      <c r="K230" s="159">
        <f t="shared" si="36"/>
        <v>0</v>
      </c>
      <c r="L230" s="159">
        <f t="shared" si="36"/>
        <v>0</v>
      </c>
      <c r="M230" s="178">
        <f t="shared" si="33"/>
        <v>0</v>
      </c>
      <c r="N230" s="464"/>
      <c r="O230" s="455"/>
      <c r="P230" s="494"/>
      <c r="Q230" s="494"/>
      <c r="R230" s="494"/>
      <c r="S230" s="494"/>
      <c r="T230" s="494"/>
      <c r="U230" s="494"/>
      <c r="V230" s="494"/>
      <c r="W230" s="494"/>
      <c r="X230" s="494"/>
      <c r="Y230" s="494"/>
      <c r="Z230" s="494"/>
    </row>
    <row r="231" spans="1:26" s="525" customFormat="1" ht="64.5" customHeight="1">
      <c r="A231" s="292">
        <v>1</v>
      </c>
      <c r="B231" s="350" t="s">
        <v>1663</v>
      </c>
      <c r="C231" s="529" t="s">
        <v>1762</v>
      </c>
      <c r="D231" s="167">
        <v>5100</v>
      </c>
      <c r="E231" s="167">
        <f>5100-34</f>
        <v>5066</v>
      </c>
      <c r="F231" s="167" t="s">
        <v>1220</v>
      </c>
      <c r="G231" s="167"/>
      <c r="H231" s="160">
        <v>5066</v>
      </c>
      <c r="I231" s="160"/>
      <c r="J231" s="160"/>
      <c r="K231" s="225"/>
      <c r="L231" s="225"/>
      <c r="M231" s="178">
        <f t="shared" si="33"/>
        <v>0</v>
      </c>
      <c r="N231" s="531"/>
      <c r="O231" s="455"/>
    </row>
    <row r="232" spans="1:26" s="525" customFormat="1" ht="64.5" customHeight="1">
      <c r="A232" s="292">
        <v>2</v>
      </c>
      <c r="B232" s="350" t="s">
        <v>1761</v>
      </c>
      <c r="C232" s="274" t="s">
        <v>1760</v>
      </c>
      <c r="D232" s="167">
        <v>220</v>
      </c>
      <c r="E232" s="167">
        <v>220</v>
      </c>
      <c r="F232" s="167">
        <v>2025</v>
      </c>
      <c r="G232" s="167"/>
      <c r="H232" s="160"/>
      <c r="I232" s="160"/>
      <c r="J232" s="160"/>
      <c r="K232" s="225"/>
      <c r="L232" s="225"/>
      <c r="M232" s="178">
        <f t="shared" si="33"/>
        <v>0</v>
      </c>
      <c r="N232" s="531"/>
      <c r="O232" s="455"/>
    </row>
    <row r="233" spans="1:26" s="525" customFormat="1" ht="64.5" customHeight="1">
      <c r="A233" s="292">
        <v>3</v>
      </c>
      <c r="B233" s="350" t="s">
        <v>1759</v>
      </c>
      <c r="C233" s="274" t="s">
        <v>1758</v>
      </c>
      <c r="D233" s="167">
        <v>244</v>
      </c>
      <c r="E233" s="167">
        <v>244</v>
      </c>
      <c r="F233" s="167">
        <v>2025</v>
      </c>
      <c r="G233" s="167"/>
      <c r="H233" s="160"/>
      <c r="I233" s="160"/>
      <c r="J233" s="160"/>
      <c r="K233" s="225"/>
      <c r="L233" s="225"/>
      <c r="M233" s="178">
        <f t="shared" si="33"/>
        <v>0</v>
      </c>
      <c r="N233" s="531"/>
      <c r="O233" s="455"/>
    </row>
    <row r="234" spans="1:26" s="489" customFormat="1" ht="55.5" customHeight="1">
      <c r="A234" s="292"/>
      <c r="B234" s="352" t="s">
        <v>1757</v>
      </c>
      <c r="C234" s="529"/>
      <c r="D234" s="226">
        <f>D235</f>
        <v>1375</v>
      </c>
      <c r="E234" s="226">
        <f>E235</f>
        <v>1375</v>
      </c>
      <c r="F234" s="226"/>
      <c r="G234" s="226">
        <f t="shared" ref="G234:L234" si="37">G235</f>
        <v>0</v>
      </c>
      <c r="H234" s="226">
        <f t="shared" si="37"/>
        <v>25</v>
      </c>
      <c r="I234" s="226">
        <f t="shared" si="37"/>
        <v>25</v>
      </c>
      <c r="J234" s="226">
        <f t="shared" si="37"/>
        <v>0</v>
      </c>
      <c r="K234" s="226">
        <f t="shared" si="37"/>
        <v>0</v>
      </c>
      <c r="L234" s="226">
        <f t="shared" si="37"/>
        <v>25</v>
      </c>
      <c r="M234" s="178">
        <f t="shared" si="33"/>
        <v>0</v>
      </c>
      <c r="N234" s="464"/>
      <c r="O234" s="455"/>
      <c r="P234" s="494"/>
      <c r="Q234" s="494"/>
      <c r="R234" s="494"/>
      <c r="S234" s="494"/>
      <c r="T234" s="494"/>
      <c r="U234" s="494"/>
      <c r="V234" s="494"/>
      <c r="W234" s="494"/>
      <c r="X234" s="494"/>
      <c r="Y234" s="494"/>
      <c r="Z234" s="494"/>
    </row>
    <row r="235" spans="1:26" s="489" customFormat="1" ht="41.25" customHeight="1">
      <c r="A235" s="292">
        <v>1</v>
      </c>
      <c r="B235" s="350" t="s">
        <v>1756</v>
      </c>
      <c r="C235" s="529" t="s">
        <v>1667</v>
      </c>
      <c r="D235" s="211">
        <v>1375</v>
      </c>
      <c r="E235" s="211">
        <v>1375</v>
      </c>
      <c r="F235" s="167" t="s">
        <v>1755</v>
      </c>
      <c r="G235" s="167"/>
      <c r="H235" s="160">
        <v>25</v>
      </c>
      <c r="I235" s="160">
        <v>25</v>
      </c>
      <c r="J235" s="160"/>
      <c r="K235" s="191"/>
      <c r="L235" s="191">
        <f>I235</f>
        <v>25</v>
      </c>
      <c r="M235" s="178">
        <f t="shared" si="33"/>
        <v>0</v>
      </c>
      <c r="N235" s="347" t="s">
        <v>2014</v>
      </c>
      <c r="O235" s="455"/>
      <c r="P235" s="494"/>
      <c r="Q235" s="494"/>
      <c r="R235" s="494"/>
      <c r="S235" s="494"/>
      <c r="T235" s="494"/>
      <c r="U235" s="494"/>
      <c r="V235" s="494"/>
      <c r="W235" s="494"/>
      <c r="X235" s="494"/>
      <c r="Y235" s="494"/>
      <c r="Z235" s="494"/>
    </row>
    <row r="236" spans="1:26" s="496" customFormat="1" ht="21.75" customHeight="1">
      <c r="A236" s="342" t="s">
        <v>1754</v>
      </c>
      <c r="B236" s="343" t="s">
        <v>402</v>
      </c>
      <c r="C236" s="344"/>
      <c r="D236" s="165">
        <f>SUM(D237:D241)</f>
        <v>21350</v>
      </c>
      <c r="E236" s="165">
        <f>SUM(E237:E241)</f>
        <v>21350</v>
      </c>
      <c r="F236" s="163"/>
      <c r="G236" s="165"/>
      <c r="H236" s="165">
        <f t="shared" ref="H236:M236" si="38">SUM(H237:H241)</f>
        <v>15369</v>
      </c>
      <c r="I236" s="165">
        <f t="shared" si="38"/>
        <v>2635</v>
      </c>
      <c r="J236" s="165">
        <f t="shared" si="38"/>
        <v>2285</v>
      </c>
      <c r="K236" s="165">
        <f t="shared" si="38"/>
        <v>350</v>
      </c>
      <c r="L236" s="165">
        <f t="shared" si="38"/>
        <v>350</v>
      </c>
      <c r="M236" s="165">
        <f t="shared" si="38"/>
        <v>2635</v>
      </c>
      <c r="N236" s="329"/>
      <c r="O236" s="455"/>
    </row>
    <row r="237" spans="1:26" s="491" customFormat="1" ht="49.5" customHeight="1">
      <c r="A237" s="542">
        <v>1</v>
      </c>
      <c r="B237" s="369" t="s">
        <v>1753</v>
      </c>
      <c r="C237" s="509" t="s">
        <v>1752</v>
      </c>
      <c r="D237" s="167">
        <v>2350</v>
      </c>
      <c r="E237" s="167">
        <v>2350</v>
      </c>
      <c r="F237" s="173" t="s">
        <v>1725</v>
      </c>
      <c r="G237" s="167">
        <v>2022</v>
      </c>
      <c r="H237" s="167">
        <v>3584</v>
      </c>
      <c r="I237" s="178">
        <v>100</v>
      </c>
      <c r="J237" s="178"/>
      <c r="K237" s="160"/>
      <c r="L237" s="178">
        <v>100</v>
      </c>
      <c r="M237" s="178">
        <f>I237+K237-L237</f>
        <v>0</v>
      </c>
      <c r="N237" s="493"/>
      <c r="O237" s="543"/>
    </row>
    <row r="238" spans="1:26" s="491" customFormat="1" ht="49.5" customHeight="1">
      <c r="A238" s="544">
        <v>2</v>
      </c>
      <c r="B238" s="369" t="s">
        <v>1751</v>
      </c>
      <c r="C238" s="509" t="s">
        <v>1750</v>
      </c>
      <c r="D238" s="167">
        <v>3500</v>
      </c>
      <c r="E238" s="167">
        <v>3500</v>
      </c>
      <c r="F238" s="173" t="s">
        <v>1725</v>
      </c>
      <c r="G238" s="167">
        <v>2022</v>
      </c>
      <c r="H238" s="167">
        <v>3500</v>
      </c>
      <c r="I238" s="167">
        <v>105</v>
      </c>
      <c r="J238" s="178"/>
      <c r="K238" s="160"/>
      <c r="L238" s="167">
        <v>105</v>
      </c>
      <c r="M238" s="178">
        <f>I238+K238-L238</f>
        <v>0</v>
      </c>
      <c r="N238" s="493"/>
      <c r="O238" s="543"/>
    </row>
    <row r="239" spans="1:26" s="491" customFormat="1" ht="49.5" customHeight="1">
      <c r="A239" s="544">
        <v>10</v>
      </c>
      <c r="B239" s="348" t="s">
        <v>1621</v>
      </c>
      <c r="C239" s="347" t="s">
        <v>1622</v>
      </c>
      <c r="D239" s="167">
        <v>13500</v>
      </c>
      <c r="E239" s="167">
        <v>13500</v>
      </c>
      <c r="F239" s="173" t="s">
        <v>1209</v>
      </c>
      <c r="G239" s="167">
        <v>2023</v>
      </c>
      <c r="H239" s="167">
        <v>6285</v>
      </c>
      <c r="I239" s="167">
        <v>2285</v>
      </c>
      <c r="J239" s="167">
        <v>2285</v>
      </c>
      <c r="K239" s="160">
        <v>350</v>
      </c>
      <c r="L239" s="160"/>
      <c r="M239" s="178">
        <f>I239+K239-L239</f>
        <v>2635</v>
      </c>
      <c r="N239" s="493"/>
      <c r="O239" s="543"/>
    </row>
    <row r="240" spans="1:26" s="491" customFormat="1" ht="49.5" customHeight="1">
      <c r="A240" s="542">
        <v>11</v>
      </c>
      <c r="B240" s="348" t="s">
        <v>1616</v>
      </c>
      <c r="C240" s="347" t="s">
        <v>1617</v>
      </c>
      <c r="D240" s="167">
        <v>1000</v>
      </c>
      <c r="E240" s="167">
        <f>D240</f>
        <v>1000</v>
      </c>
      <c r="F240" s="173" t="s">
        <v>1749</v>
      </c>
      <c r="G240" s="211" t="s">
        <v>1748</v>
      </c>
      <c r="H240" s="178">
        <v>1000</v>
      </c>
      <c r="I240" s="178">
        <v>16</v>
      </c>
      <c r="J240" s="178">
        <v>0</v>
      </c>
      <c r="K240" s="160"/>
      <c r="L240" s="160">
        <v>16</v>
      </c>
      <c r="M240" s="178">
        <f>I240+K240-L240</f>
        <v>0</v>
      </c>
      <c r="N240" s="493"/>
      <c r="O240" s="543"/>
    </row>
    <row r="241" spans="1:15" s="496" customFormat="1" ht="49.5" customHeight="1">
      <c r="A241" s="544">
        <v>12</v>
      </c>
      <c r="B241" s="348" t="s">
        <v>1620</v>
      </c>
      <c r="C241" s="347" t="s">
        <v>1747</v>
      </c>
      <c r="D241" s="167">
        <v>1000</v>
      </c>
      <c r="E241" s="167">
        <f>D241</f>
        <v>1000</v>
      </c>
      <c r="F241" s="173" t="s">
        <v>1746</v>
      </c>
      <c r="G241" s="211" t="s">
        <v>1731</v>
      </c>
      <c r="H241" s="178">
        <v>1000</v>
      </c>
      <c r="I241" s="178">
        <v>129</v>
      </c>
      <c r="J241" s="178"/>
      <c r="K241" s="160"/>
      <c r="L241" s="160">
        <f>I241</f>
        <v>129</v>
      </c>
      <c r="M241" s="178">
        <f>I241+K241-L241</f>
        <v>0</v>
      </c>
      <c r="N241" s="493"/>
      <c r="O241" s="543"/>
    </row>
    <row r="242" spans="1:15" s="496" customFormat="1" ht="24" customHeight="1">
      <c r="A242" s="533" t="s">
        <v>1745</v>
      </c>
      <c r="B242" s="343" t="s">
        <v>225</v>
      </c>
      <c r="C242" s="344"/>
      <c r="D242" s="227">
        <f>SUM(D243:D245)</f>
        <v>9242</v>
      </c>
      <c r="E242" s="227">
        <f>SUM(E243:E245)</f>
        <v>2442</v>
      </c>
      <c r="F242" s="227"/>
      <c r="G242" s="227"/>
      <c r="H242" s="227">
        <f t="shared" ref="H242:M242" si="39">SUM(H243:H245)</f>
        <v>0</v>
      </c>
      <c r="I242" s="227">
        <f t="shared" si="39"/>
        <v>273</v>
      </c>
      <c r="J242" s="227">
        <f t="shared" si="39"/>
        <v>0</v>
      </c>
      <c r="K242" s="227">
        <f t="shared" si="39"/>
        <v>0</v>
      </c>
      <c r="L242" s="227">
        <f t="shared" si="39"/>
        <v>238</v>
      </c>
      <c r="M242" s="227">
        <f t="shared" si="39"/>
        <v>35</v>
      </c>
      <c r="N242" s="329"/>
      <c r="O242" s="455"/>
    </row>
    <row r="243" spans="1:15" s="488" customFormat="1" ht="108.75" customHeight="1">
      <c r="A243" s="532">
        <v>1</v>
      </c>
      <c r="B243" s="346" t="s">
        <v>1705</v>
      </c>
      <c r="C243" s="347" t="s">
        <v>1706</v>
      </c>
      <c r="D243" s="175">
        <v>3500</v>
      </c>
      <c r="E243" s="172">
        <v>0</v>
      </c>
      <c r="F243" s="172">
        <v>0</v>
      </c>
      <c r="G243" s="172">
        <v>0</v>
      </c>
      <c r="H243" s="172">
        <v>0</v>
      </c>
      <c r="I243" s="172">
        <v>105</v>
      </c>
      <c r="J243" s="172">
        <v>0</v>
      </c>
      <c r="K243" s="172">
        <v>0</v>
      </c>
      <c r="L243" s="172">
        <v>105</v>
      </c>
      <c r="M243" s="178">
        <f>I243+K243-L243</f>
        <v>0</v>
      </c>
      <c r="N243" s="464"/>
      <c r="O243" s="455"/>
    </row>
    <row r="244" spans="1:15" s="488" customFormat="1" ht="108.75" customHeight="1">
      <c r="A244" s="532">
        <v>2</v>
      </c>
      <c r="B244" s="346" t="s">
        <v>1707</v>
      </c>
      <c r="C244" s="347" t="s">
        <v>1708</v>
      </c>
      <c r="D244" s="173">
        <v>3300</v>
      </c>
      <c r="E244" s="172">
        <v>0</v>
      </c>
      <c r="F244" s="172">
        <v>0</v>
      </c>
      <c r="G244" s="172">
        <v>0</v>
      </c>
      <c r="H244" s="172">
        <v>0</v>
      </c>
      <c r="I244" s="172">
        <v>99</v>
      </c>
      <c r="J244" s="172">
        <v>0</v>
      </c>
      <c r="K244" s="172">
        <v>0</v>
      </c>
      <c r="L244" s="172">
        <v>64</v>
      </c>
      <c r="M244" s="178">
        <f>I244+K244-L244</f>
        <v>35</v>
      </c>
      <c r="N244" s="464"/>
      <c r="O244" s="455"/>
    </row>
    <row r="245" spans="1:15" s="488" customFormat="1" ht="93" customHeight="1">
      <c r="A245" s="532">
        <v>3</v>
      </c>
      <c r="B245" s="346" t="s">
        <v>1709</v>
      </c>
      <c r="C245" s="347" t="s">
        <v>1710</v>
      </c>
      <c r="D245" s="172">
        <v>2442</v>
      </c>
      <c r="E245" s="172">
        <v>2442</v>
      </c>
      <c r="F245" s="172">
        <v>0</v>
      </c>
      <c r="G245" s="172">
        <v>0</v>
      </c>
      <c r="H245" s="172">
        <v>0</v>
      </c>
      <c r="I245" s="172">
        <v>69</v>
      </c>
      <c r="J245" s="172">
        <v>0</v>
      </c>
      <c r="K245" s="172">
        <v>0</v>
      </c>
      <c r="L245" s="172">
        <v>69</v>
      </c>
      <c r="M245" s="178">
        <f>I245+K245-L245</f>
        <v>0</v>
      </c>
      <c r="N245" s="464"/>
      <c r="O245" s="455"/>
    </row>
    <row r="246" spans="1:15" s="500" customFormat="1" ht="22.5" customHeight="1">
      <c r="A246" s="534" t="s">
        <v>1744</v>
      </c>
      <c r="B246" s="343" t="s">
        <v>404</v>
      </c>
      <c r="C246" s="535"/>
      <c r="D246" s="226">
        <f>SUM(D247:D264)</f>
        <v>62128</v>
      </c>
      <c r="E246" s="226">
        <f>SUM(E247:E264)</f>
        <v>62128</v>
      </c>
      <c r="F246" s="226"/>
      <c r="G246" s="226"/>
      <c r="H246" s="226">
        <f t="shared" ref="H246:N246" si="40">SUM(H247:H264)</f>
        <v>61948</v>
      </c>
      <c r="I246" s="226">
        <f t="shared" si="40"/>
        <v>4220</v>
      </c>
      <c r="J246" s="226">
        <f t="shared" si="40"/>
        <v>2261.2109999999998</v>
      </c>
      <c r="K246" s="226">
        <f t="shared" si="40"/>
        <v>8</v>
      </c>
      <c r="L246" s="226">
        <f t="shared" si="40"/>
        <v>1496</v>
      </c>
      <c r="M246" s="226">
        <f t="shared" si="40"/>
        <v>2732</v>
      </c>
      <c r="N246" s="264">
        <f t="shared" si="40"/>
        <v>0</v>
      </c>
      <c r="O246" s="455"/>
    </row>
    <row r="247" spans="1:15" s="500" customFormat="1" ht="85.5" customHeight="1">
      <c r="A247" s="364">
        <v>1</v>
      </c>
      <c r="B247" s="293" t="s">
        <v>1743</v>
      </c>
      <c r="C247" s="294" t="s">
        <v>1742</v>
      </c>
      <c r="D247" s="160">
        <v>20000</v>
      </c>
      <c r="E247" s="160">
        <v>20000</v>
      </c>
      <c r="F247" s="175" t="s">
        <v>1226</v>
      </c>
      <c r="G247" s="173">
        <v>2022</v>
      </c>
      <c r="H247" s="173">
        <v>19820</v>
      </c>
      <c r="I247" s="173">
        <v>0</v>
      </c>
      <c r="J247" s="173">
        <v>0</v>
      </c>
      <c r="K247" s="173">
        <v>8</v>
      </c>
      <c r="L247" s="173">
        <v>0</v>
      </c>
      <c r="M247" s="178">
        <f t="shared" ref="M247:M264" si="41">I247+K247-L247</f>
        <v>8</v>
      </c>
      <c r="N247" s="347" t="s">
        <v>1735</v>
      </c>
      <c r="O247" s="455"/>
    </row>
    <row r="248" spans="1:15" s="500" customFormat="1" ht="56.25" customHeight="1">
      <c r="A248" s="364">
        <v>2</v>
      </c>
      <c r="B248" s="293" t="s">
        <v>1670</v>
      </c>
      <c r="C248" s="294" t="s">
        <v>1741</v>
      </c>
      <c r="D248" s="160">
        <v>2600</v>
      </c>
      <c r="E248" s="160">
        <v>2600</v>
      </c>
      <c r="F248" s="175" t="s">
        <v>1725</v>
      </c>
      <c r="G248" s="173">
        <v>2023</v>
      </c>
      <c r="H248" s="173">
        <v>2600</v>
      </c>
      <c r="I248" s="173">
        <v>101</v>
      </c>
      <c r="J248" s="173">
        <v>0</v>
      </c>
      <c r="K248" s="173">
        <v>0</v>
      </c>
      <c r="L248" s="173">
        <v>101</v>
      </c>
      <c r="M248" s="178">
        <f t="shared" si="41"/>
        <v>0</v>
      </c>
      <c r="N248" s="347" t="s">
        <v>1409</v>
      </c>
      <c r="O248" s="455"/>
    </row>
    <row r="249" spans="1:15" s="500" customFormat="1" ht="56.25" customHeight="1">
      <c r="A249" s="364">
        <v>4</v>
      </c>
      <c r="B249" s="228" t="s">
        <v>1672</v>
      </c>
      <c r="C249" s="347" t="s">
        <v>1673</v>
      </c>
      <c r="D249" s="167">
        <v>4000</v>
      </c>
      <c r="E249" s="167">
        <v>4000</v>
      </c>
      <c r="F249" s="175" t="s">
        <v>1725</v>
      </c>
      <c r="G249" s="173">
        <v>2023</v>
      </c>
      <c r="H249" s="173">
        <v>4000</v>
      </c>
      <c r="I249" s="173">
        <v>116</v>
      </c>
      <c r="J249" s="173">
        <v>0</v>
      </c>
      <c r="K249" s="173">
        <v>0</v>
      </c>
      <c r="L249" s="173">
        <v>116</v>
      </c>
      <c r="M249" s="178">
        <f t="shared" si="41"/>
        <v>0</v>
      </c>
      <c r="N249" s="347" t="s">
        <v>1409</v>
      </c>
      <c r="O249" s="455"/>
    </row>
    <row r="250" spans="1:15" s="500" customFormat="1" ht="56.25" customHeight="1">
      <c r="A250" s="364">
        <v>5</v>
      </c>
      <c r="B250" s="348" t="s">
        <v>1674</v>
      </c>
      <c r="C250" s="229" t="s">
        <v>1675</v>
      </c>
      <c r="D250" s="167">
        <v>3823</v>
      </c>
      <c r="E250" s="167">
        <v>3823</v>
      </c>
      <c r="F250" s="175" t="s">
        <v>1725</v>
      </c>
      <c r="G250" s="173">
        <v>2023</v>
      </c>
      <c r="H250" s="173">
        <v>3823</v>
      </c>
      <c r="I250" s="173">
        <v>116</v>
      </c>
      <c r="J250" s="173">
        <v>0</v>
      </c>
      <c r="K250" s="173">
        <v>0</v>
      </c>
      <c r="L250" s="173">
        <v>116</v>
      </c>
      <c r="M250" s="178">
        <f t="shared" si="41"/>
        <v>0</v>
      </c>
      <c r="N250" s="347" t="s">
        <v>1409</v>
      </c>
      <c r="O250" s="455"/>
    </row>
    <row r="251" spans="1:15" s="500" customFormat="1" ht="67.5" customHeight="1">
      <c r="A251" s="364">
        <v>6</v>
      </c>
      <c r="B251" s="348" t="s">
        <v>1678</v>
      </c>
      <c r="C251" s="229" t="s">
        <v>1679</v>
      </c>
      <c r="D251" s="167">
        <v>4335</v>
      </c>
      <c r="E251" s="167">
        <v>4335</v>
      </c>
      <c r="F251" s="175" t="s">
        <v>1725</v>
      </c>
      <c r="G251" s="173">
        <v>2023</v>
      </c>
      <c r="H251" s="173">
        <v>4335</v>
      </c>
      <c r="I251" s="173">
        <v>161</v>
      </c>
      <c r="J251" s="173">
        <v>0</v>
      </c>
      <c r="K251" s="173">
        <v>0</v>
      </c>
      <c r="L251" s="173">
        <v>161</v>
      </c>
      <c r="M251" s="178">
        <f t="shared" si="41"/>
        <v>0</v>
      </c>
      <c r="N251" s="347" t="s">
        <v>1409</v>
      </c>
      <c r="O251" s="455"/>
    </row>
    <row r="252" spans="1:15" s="500" customFormat="1" ht="67.5" customHeight="1">
      <c r="A252" s="364">
        <v>7</v>
      </c>
      <c r="B252" s="348" t="s">
        <v>1696</v>
      </c>
      <c r="C252" s="229" t="s">
        <v>1697</v>
      </c>
      <c r="D252" s="167" t="s">
        <v>1740</v>
      </c>
      <c r="E252" s="167" t="s">
        <v>1740</v>
      </c>
      <c r="F252" s="175" t="s">
        <v>1725</v>
      </c>
      <c r="G252" s="173">
        <v>2023</v>
      </c>
      <c r="H252" s="173" t="s">
        <v>1740</v>
      </c>
      <c r="I252" s="173">
        <v>359</v>
      </c>
      <c r="J252" s="173">
        <v>0</v>
      </c>
      <c r="K252" s="173">
        <v>0</v>
      </c>
      <c r="L252" s="173">
        <v>359</v>
      </c>
      <c r="M252" s="178">
        <f t="shared" si="41"/>
        <v>0</v>
      </c>
      <c r="N252" s="347" t="s">
        <v>1409</v>
      </c>
      <c r="O252" s="455"/>
    </row>
    <row r="253" spans="1:15" s="500" customFormat="1" ht="67.5" customHeight="1">
      <c r="A253" s="364">
        <v>8</v>
      </c>
      <c r="B253" s="348" t="s">
        <v>1698</v>
      </c>
      <c r="C253" s="229" t="s">
        <v>1699</v>
      </c>
      <c r="D253" s="167">
        <v>4320</v>
      </c>
      <c r="E253" s="167">
        <v>4320</v>
      </c>
      <c r="F253" s="175" t="s">
        <v>1725</v>
      </c>
      <c r="G253" s="173">
        <v>2023</v>
      </c>
      <c r="H253" s="173">
        <v>4320</v>
      </c>
      <c r="I253" s="173">
        <v>76</v>
      </c>
      <c r="J253" s="173">
        <v>0</v>
      </c>
      <c r="K253" s="173">
        <v>0</v>
      </c>
      <c r="L253" s="173">
        <v>76</v>
      </c>
      <c r="M253" s="178">
        <f t="shared" si="41"/>
        <v>0</v>
      </c>
      <c r="N253" s="347" t="s">
        <v>1409</v>
      </c>
      <c r="O253" s="455"/>
    </row>
    <row r="254" spans="1:15" s="500" customFormat="1" ht="67.5" customHeight="1">
      <c r="A254" s="364">
        <v>9</v>
      </c>
      <c r="B254" s="348" t="s">
        <v>1700</v>
      </c>
      <c r="C254" s="229" t="s">
        <v>1701</v>
      </c>
      <c r="D254" s="167" t="s">
        <v>1739</v>
      </c>
      <c r="E254" s="167" t="s">
        <v>1739</v>
      </c>
      <c r="F254" s="175" t="s">
        <v>1725</v>
      </c>
      <c r="G254" s="173">
        <v>2023</v>
      </c>
      <c r="H254" s="173" t="s">
        <v>1739</v>
      </c>
      <c r="I254" s="173">
        <v>48</v>
      </c>
      <c r="J254" s="173">
        <v>0</v>
      </c>
      <c r="K254" s="173">
        <v>0</v>
      </c>
      <c r="L254" s="173">
        <v>48</v>
      </c>
      <c r="M254" s="178">
        <f t="shared" si="41"/>
        <v>0</v>
      </c>
      <c r="N254" s="347" t="s">
        <v>1409</v>
      </c>
      <c r="O254" s="455"/>
    </row>
    <row r="255" spans="1:15" s="500" customFormat="1" ht="67.5" customHeight="1">
      <c r="A255" s="304" t="s">
        <v>144</v>
      </c>
      <c r="B255" s="365" t="s">
        <v>1738</v>
      </c>
      <c r="C255" s="260" t="s">
        <v>1737</v>
      </c>
      <c r="D255" s="178">
        <v>3500</v>
      </c>
      <c r="E255" s="178">
        <v>3500</v>
      </c>
      <c r="F255" s="175" t="s">
        <v>1209</v>
      </c>
      <c r="G255" s="173">
        <v>2024</v>
      </c>
      <c r="H255" s="173">
        <v>3500</v>
      </c>
      <c r="I255" s="173">
        <v>43</v>
      </c>
      <c r="J255" s="173">
        <v>0</v>
      </c>
      <c r="K255" s="173">
        <v>0</v>
      </c>
      <c r="L255" s="173">
        <v>43</v>
      </c>
      <c r="M255" s="178">
        <f t="shared" si="41"/>
        <v>0</v>
      </c>
      <c r="N255" s="347" t="s">
        <v>1409</v>
      </c>
      <c r="O255" s="455"/>
    </row>
    <row r="256" spans="1:15" s="500" customFormat="1" ht="57" customHeight="1">
      <c r="A256" s="304" t="s">
        <v>547</v>
      </c>
      <c r="B256" s="365" t="s">
        <v>1684</v>
      </c>
      <c r="C256" s="260" t="s">
        <v>1685</v>
      </c>
      <c r="D256" s="178">
        <v>1700</v>
      </c>
      <c r="E256" s="178">
        <v>1700</v>
      </c>
      <c r="F256" s="175" t="s">
        <v>1209</v>
      </c>
      <c r="G256" s="173">
        <v>2024</v>
      </c>
      <c r="H256" s="173">
        <v>1700</v>
      </c>
      <c r="I256" s="173">
        <v>79</v>
      </c>
      <c r="J256" s="173">
        <v>0</v>
      </c>
      <c r="K256" s="173">
        <v>0</v>
      </c>
      <c r="L256" s="173">
        <v>79</v>
      </c>
      <c r="M256" s="178">
        <f t="shared" si="41"/>
        <v>0</v>
      </c>
      <c r="N256" s="347" t="s">
        <v>1409</v>
      </c>
      <c r="O256" s="455"/>
    </row>
    <row r="257" spans="1:15" s="500" customFormat="1" ht="52.5" customHeight="1">
      <c r="A257" s="304" t="s">
        <v>214</v>
      </c>
      <c r="B257" s="365" t="s">
        <v>1676</v>
      </c>
      <c r="C257" s="260" t="s">
        <v>1677</v>
      </c>
      <c r="D257" s="178">
        <v>1700</v>
      </c>
      <c r="E257" s="178">
        <v>1700</v>
      </c>
      <c r="F257" s="175" t="s">
        <v>1209</v>
      </c>
      <c r="G257" s="173">
        <v>2024</v>
      </c>
      <c r="H257" s="173">
        <v>1700</v>
      </c>
      <c r="I257" s="173">
        <v>5</v>
      </c>
      <c r="J257" s="173">
        <v>0</v>
      </c>
      <c r="K257" s="173">
        <v>0</v>
      </c>
      <c r="L257" s="173">
        <v>5</v>
      </c>
      <c r="M257" s="178">
        <f t="shared" si="41"/>
        <v>0</v>
      </c>
      <c r="N257" s="347" t="s">
        <v>1409</v>
      </c>
      <c r="O257" s="455"/>
    </row>
    <row r="258" spans="1:15" s="500" customFormat="1" ht="64.5" customHeight="1">
      <c r="A258" s="304" t="s">
        <v>967</v>
      </c>
      <c r="B258" s="365" t="s">
        <v>1680</v>
      </c>
      <c r="C258" s="260" t="s">
        <v>1681</v>
      </c>
      <c r="D258" s="178">
        <v>2900</v>
      </c>
      <c r="E258" s="178">
        <v>2900</v>
      </c>
      <c r="F258" s="175" t="s">
        <v>1209</v>
      </c>
      <c r="G258" s="173">
        <v>2024</v>
      </c>
      <c r="H258" s="173">
        <v>2900</v>
      </c>
      <c r="I258" s="173">
        <v>20</v>
      </c>
      <c r="J258" s="173">
        <v>0</v>
      </c>
      <c r="K258" s="173">
        <v>0</v>
      </c>
      <c r="L258" s="173">
        <v>20</v>
      </c>
      <c r="M258" s="178">
        <f t="shared" si="41"/>
        <v>0</v>
      </c>
      <c r="N258" s="347" t="s">
        <v>1409</v>
      </c>
      <c r="O258" s="455"/>
    </row>
    <row r="259" spans="1:15" s="500" customFormat="1" ht="64.5" customHeight="1">
      <c r="A259" s="304" t="s">
        <v>968</v>
      </c>
      <c r="B259" s="365" t="s">
        <v>1682</v>
      </c>
      <c r="C259" s="260" t="s">
        <v>1683</v>
      </c>
      <c r="D259" s="178">
        <v>2550</v>
      </c>
      <c r="E259" s="178">
        <v>2550</v>
      </c>
      <c r="F259" s="175" t="s">
        <v>1209</v>
      </c>
      <c r="G259" s="173">
        <v>2024</v>
      </c>
      <c r="H259" s="173">
        <v>2550</v>
      </c>
      <c r="I259" s="173">
        <v>492</v>
      </c>
      <c r="J259" s="173">
        <v>0</v>
      </c>
      <c r="K259" s="173">
        <v>0</v>
      </c>
      <c r="L259" s="173">
        <v>60</v>
      </c>
      <c r="M259" s="178">
        <f t="shared" si="41"/>
        <v>432</v>
      </c>
      <c r="N259" s="347" t="s">
        <v>1735</v>
      </c>
      <c r="O259" s="455"/>
    </row>
    <row r="260" spans="1:15" s="500" customFormat="1" ht="64.5" customHeight="1">
      <c r="A260" s="304" t="s">
        <v>969</v>
      </c>
      <c r="B260" s="365" t="s">
        <v>1736</v>
      </c>
      <c r="C260" s="260" t="s">
        <v>1687</v>
      </c>
      <c r="D260" s="178">
        <v>1500</v>
      </c>
      <c r="E260" s="178">
        <v>1500</v>
      </c>
      <c r="F260" s="175" t="s">
        <v>1209</v>
      </c>
      <c r="G260" s="173">
        <v>2024</v>
      </c>
      <c r="H260" s="173">
        <v>1500</v>
      </c>
      <c r="I260" s="173">
        <v>7</v>
      </c>
      <c r="J260" s="173">
        <v>0</v>
      </c>
      <c r="K260" s="173">
        <v>0</v>
      </c>
      <c r="L260" s="173">
        <v>7</v>
      </c>
      <c r="M260" s="178">
        <f t="shared" si="41"/>
        <v>0</v>
      </c>
      <c r="N260" s="347" t="s">
        <v>1409</v>
      </c>
      <c r="O260" s="455"/>
    </row>
    <row r="261" spans="1:15" s="500" customFormat="1" ht="64.5" customHeight="1">
      <c r="A261" s="304" t="s">
        <v>970</v>
      </c>
      <c r="B261" s="365" t="s">
        <v>1688</v>
      </c>
      <c r="C261" s="260" t="s">
        <v>1689</v>
      </c>
      <c r="D261" s="178">
        <v>900</v>
      </c>
      <c r="E261" s="178">
        <v>900</v>
      </c>
      <c r="F261" s="175" t="s">
        <v>1209</v>
      </c>
      <c r="G261" s="173">
        <v>2024</v>
      </c>
      <c r="H261" s="173">
        <v>900</v>
      </c>
      <c r="I261" s="173">
        <v>59</v>
      </c>
      <c r="J261" s="173">
        <v>0</v>
      </c>
      <c r="K261" s="173">
        <v>0</v>
      </c>
      <c r="L261" s="173">
        <v>59</v>
      </c>
      <c r="M261" s="178">
        <f t="shared" si="41"/>
        <v>0</v>
      </c>
      <c r="N261" s="347" t="s">
        <v>1409</v>
      </c>
      <c r="O261" s="455"/>
    </row>
    <row r="262" spans="1:15" s="500" customFormat="1" ht="57" customHeight="1">
      <c r="A262" s="304" t="s">
        <v>971</v>
      </c>
      <c r="B262" s="365" t="s">
        <v>1690</v>
      </c>
      <c r="C262" s="260" t="s">
        <v>1691</v>
      </c>
      <c r="D262" s="178">
        <v>1300</v>
      </c>
      <c r="E262" s="178">
        <v>1300</v>
      </c>
      <c r="F262" s="175" t="s">
        <v>1209</v>
      </c>
      <c r="G262" s="173">
        <v>2024</v>
      </c>
      <c r="H262" s="173">
        <v>1300</v>
      </c>
      <c r="I262" s="173">
        <v>8</v>
      </c>
      <c r="J262" s="173">
        <v>0</v>
      </c>
      <c r="K262" s="173">
        <v>0</v>
      </c>
      <c r="L262" s="173">
        <v>8</v>
      </c>
      <c r="M262" s="178">
        <f t="shared" si="41"/>
        <v>0</v>
      </c>
      <c r="N262" s="347" t="s">
        <v>1409</v>
      </c>
      <c r="O262" s="455"/>
    </row>
    <row r="263" spans="1:15" s="500" customFormat="1" ht="64.5" customHeight="1">
      <c r="A263" s="304" t="s">
        <v>972</v>
      </c>
      <c r="B263" s="365" t="s">
        <v>1692</v>
      </c>
      <c r="C263" s="260" t="s">
        <v>1693</v>
      </c>
      <c r="D263" s="178">
        <v>1500</v>
      </c>
      <c r="E263" s="178">
        <v>1500</v>
      </c>
      <c r="F263" s="175" t="s">
        <v>1209</v>
      </c>
      <c r="G263" s="173">
        <v>2024</v>
      </c>
      <c r="H263" s="173">
        <v>1500</v>
      </c>
      <c r="I263" s="173">
        <v>30</v>
      </c>
      <c r="J263" s="173">
        <v>0</v>
      </c>
      <c r="K263" s="173">
        <v>0</v>
      </c>
      <c r="L263" s="173">
        <v>30</v>
      </c>
      <c r="M263" s="178">
        <f t="shared" si="41"/>
        <v>0</v>
      </c>
      <c r="N263" s="347" t="s">
        <v>1409</v>
      </c>
      <c r="O263" s="455"/>
    </row>
    <row r="264" spans="1:15" s="500" customFormat="1" ht="64.5" customHeight="1">
      <c r="A264" s="304" t="s">
        <v>973</v>
      </c>
      <c r="B264" s="365" t="s">
        <v>1694</v>
      </c>
      <c r="C264" s="260" t="s">
        <v>1695</v>
      </c>
      <c r="D264" s="178">
        <v>5500</v>
      </c>
      <c r="E264" s="178">
        <v>5500</v>
      </c>
      <c r="F264" s="175" t="s">
        <v>1209</v>
      </c>
      <c r="G264" s="173">
        <v>2024</v>
      </c>
      <c r="H264" s="173">
        <v>5500</v>
      </c>
      <c r="I264" s="173">
        <v>2500</v>
      </c>
      <c r="J264" s="173">
        <v>2261.2109999999998</v>
      </c>
      <c r="K264" s="173">
        <v>0</v>
      </c>
      <c r="L264" s="173">
        <v>208</v>
      </c>
      <c r="M264" s="178">
        <f t="shared" si="41"/>
        <v>2292</v>
      </c>
      <c r="N264" s="347" t="s">
        <v>1735</v>
      </c>
      <c r="O264" s="455"/>
    </row>
    <row r="265" spans="1:15" s="456" customFormat="1" ht="23.25" customHeight="1">
      <c r="A265" s="342" t="s">
        <v>1734</v>
      </c>
      <c r="B265" s="343" t="s">
        <v>226</v>
      </c>
      <c r="C265" s="344"/>
      <c r="D265" s="165">
        <f>D266+D268</f>
        <v>17290</v>
      </c>
      <c r="E265" s="165">
        <f>E266+E268</f>
        <v>11790</v>
      </c>
      <c r="F265" s="165"/>
      <c r="G265" s="165"/>
      <c r="H265" s="165">
        <f t="shared" ref="H265:M265" si="42">H266+H268</f>
        <v>11790</v>
      </c>
      <c r="I265" s="165">
        <f t="shared" si="42"/>
        <v>11790</v>
      </c>
      <c r="J265" s="165">
        <f t="shared" si="42"/>
        <v>0</v>
      </c>
      <c r="K265" s="165">
        <f t="shared" si="42"/>
        <v>5500</v>
      </c>
      <c r="L265" s="165">
        <f t="shared" si="42"/>
        <v>0</v>
      </c>
      <c r="M265" s="165">
        <f t="shared" si="42"/>
        <v>17290</v>
      </c>
      <c r="N265" s="327"/>
      <c r="O265" s="455"/>
    </row>
    <row r="266" spans="1:15" s="456" customFormat="1" ht="65.25" customHeight="1">
      <c r="A266" s="342" t="s">
        <v>587</v>
      </c>
      <c r="B266" s="343" t="s">
        <v>1396</v>
      </c>
      <c r="C266" s="344"/>
      <c r="D266" s="165">
        <f>D267</f>
        <v>5500</v>
      </c>
      <c r="E266" s="165">
        <f>E267</f>
        <v>0</v>
      </c>
      <c r="F266" s="165"/>
      <c r="G266" s="165"/>
      <c r="H266" s="165">
        <f t="shared" ref="H266:M266" si="43">H267</f>
        <v>2000</v>
      </c>
      <c r="I266" s="165">
        <f t="shared" si="43"/>
        <v>2000</v>
      </c>
      <c r="J266" s="165">
        <f t="shared" si="43"/>
        <v>0</v>
      </c>
      <c r="K266" s="165">
        <f t="shared" si="43"/>
        <v>3500</v>
      </c>
      <c r="L266" s="165">
        <f t="shared" si="43"/>
        <v>0</v>
      </c>
      <c r="M266" s="165">
        <f t="shared" si="43"/>
        <v>5500</v>
      </c>
      <c r="N266" s="327"/>
      <c r="O266" s="455"/>
    </row>
    <row r="267" spans="1:15" ht="54.75" customHeight="1">
      <c r="A267" s="357">
        <v>1</v>
      </c>
      <c r="B267" s="502" t="s">
        <v>1733</v>
      </c>
      <c r="C267" s="503" t="s">
        <v>1399</v>
      </c>
      <c r="D267" s="211">
        <v>5500</v>
      </c>
      <c r="E267" s="173"/>
      <c r="F267" s="173" t="s">
        <v>1209</v>
      </c>
      <c r="G267" s="173">
        <v>2025</v>
      </c>
      <c r="H267" s="178">
        <v>2000</v>
      </c>
      <c r="I267" s="178">
        <f>H267</f>
        <v>2000</v>
      </c>
      <c r="J267" s="178"/>
      <c r="K267" s="178">
        <v>3500</v>
      </c>
      <c r="L267" s="178"/>
      <c r="M267" s="178">
        <f>I267+K267-L267</f>
        <v>5500</v>
      </c>
      <c r="N267" s="357"/>
      <c r="O267" s="455"/>
    </row>
    <row r="268" spans="1:15" ht="124.5" customHeight="1">
      <c r="A268" s="357" t="s">
        <v>587</v>
      </c>
      <c r="B268" s="536" t="s">
        <v>1401</v>
      </c>
      <c r="C268" s="503"/>
      <c r="D268" s="226">
        <f>D269</f>
        <v>11790</v>
      </c>
      <c r="E268" s="226">
        <f>E269</f>
        <v>11790</v>
      </c>
      <c r="F268" s="226"/>
      <c r="G268" s="226"/>
      <c r="H268" s="226">
        <f>H269</f>
        <v>9790</v>
      </c>
      <c r="I268" s="226">
        <f>I269</f>
        <v>9790</v>
      </c>
      <c r="J268" s="226">
        <f>J269</f>
        <v>0</v>
      </c>
      <c r="K268" s="226">
        <f>K269</f>
        <v>2000</v>
      </c>
      <c r="L268" s="226">
        <f>L269</f>
        <v>0</v>
      </c>
      <c r="M268" s="178">
        <f>I268+K268-L268</f>
        <v>11790</v>
      </c>
      <c r="N268" s="357"/>
      <c r="O268" s="455"/>
    </row>
    <row r="269" spans="1:15" ht="98.25" customHeight="1">
      <c r="A269" s="357">
        <v>1</v>
      </c>
      <c r="B269" s="350" t="s">
        <v>1402</v>
      </c>
      <c r="C269" s="503" t="s">
        <v>1403</v>
      </c>
      <c r="D269" s="167">
        <v>11790</v>
      </c>
      <c r="E269" s="173">
        <v>11790</v>
      </c>
      <c r="F269" s="175" t="s">
        <v>1209</v>
      </c>
      <c r="G269" s="173">
        <v>2025</v>
      </c>
      <c r="H269" s="178">
        <f>I269</f>
        <v>9790</v>
      </c>
      <c r="I269" s="178">
        <v>9790</v>
      </c>
      <c r="J269" s="178"/>
      <c r="K269" s="178">
        <v>2000</v>
      </c>
      <c r="L269" s="178"/>
      <c r="M269" s="178">
        <f>I269+K269-L269</f>
        <v>11790</v>
      </c>
      <c r="N269" s="357"/>
      <c r="O269" s="455"/>
    </row>
    <row r="270" spans="1:15" s="456" customFormat="1" ht="30">
      <c r="A270" s="342" t="s">
        <v>66</v>
      </c>
      <c r="B270" s="343" t="s">
        <v>1711</v>
      </c>
      <c r="C270" s="344"/>
      <c r="D270" s="165">
        <f t="shared" ref="D270:M270" si="44">SUM(D271,D273,D282,D284)</f>
        <v>136611</v>
      </c>
      <c r="E270" s="165">
        <f t="shared" si="44"/>
        <v>35309</v>
      </c>
      <c r="F270" s="165">
        <f t="shared" si="44"/>
        <v>19480</v>
      </c>
      <c r="G270" s="165">
        <f t="shared" si="44"/>
        <v>6073</v>
      </c>
      <c r="H270" s="165">
        <f t="shared" si="44"/>
        <v>20544</v>
      </c>
      <c r="I270" s="165">
        <f t="shared" si="44"/>
        <v>8284</v>
      </c>
      <c r="J270" s="165">
        <f t="shared" si="44"/>
        <v>677.36799999999994</v>
      </c>
      <c r="K270" s="165">
        <f t="shared" si="44"/>
        <v>7607</v>
      </c>
      <c r="L270" s="165">
        <f t="shared" si="44"/>
        <v>7606.6319999999996</v>
      </c>
      <c r="M270" s="165">
        <f t="shared" si="44"/>
        <v>8284.3680000000004</v>
      </c>
      <c r="N270" s="454"/>
      <c r="O270" s="455"/>
    </row>
    <row r="271" spans="1:15" s="456" customFormat="1" ht="26.25" customHeight="1">
      <c r="A271" s="342" t="s">
        <v>1732</v>
      </c>
      <c r="B271" s="343" t="s">
        <v>952</v>
      </c>
      <c r="C271" s="344"/>
      <c r="D271" s="165">
        <f>SUM(D272:D272)</f>
        <v>5523</v>
      </c>
      <c r="E271" s="165">
        <f>SUM(E272:E272)</f>
        <v>5260</v>
      </c>
      <c r="F271" s="165"/>
      <c r="G271" s="165"/>
      <c r="H271" s="165">
        <f t="shared" ref="H271:M271" si="45">SUM(H272:H272)</f>
        <v>5260</v>
      </c>
      <c r="I271" s="165">
        <f t="shared" si="45"/>
        <v>564</v>
      </c>
      <c r="J271" s="165">
        <f t="shared" si="45"/>
        <v>564</v>
      </c>
      <c r="K271" s="165">
        <f t="shared" si="45"/>
        <v>122</v>
      </c>
      <c r="L271" s="165">
        <f t="shared" si="45"/>
        <v>0</v>
      </c>
      <c r="M271" s="165">
        <f t="shared" si="45"/>
        <v>686</v>
      </c>
      <c r="N271" s="454"/>
      <c r="O271" s="455"/>
    </row>
    <row r="272" spans="1:15" s="537" customFormat="1" ht="66.75" customHeight="1">
      <c r="A272" s="345">
        <v>11</v>
      </c>
      <c r="B272" s="369" t="s">
        <v>1712</v>
      </c>
      <c r="C272" s="347" t="s">
        <v>1713</v>
      </c>
      <c r="D272" s="167">
        <v>5523</v>
      </c>
      <c r="E272" s="167">
        <v>5260</v>
      </c>
      <c r="F272" s="167"/>
      <c r="G272" s="211" t="s">
        <v>1731</v>
      </c>
      <c r="H272" s="178">
        <v>5260</v>
      </c>
      <c r="I272" s="178">
        <v>564</v>
      </c>
      <c r="J272" s="178">
        <v>564</v>
      </c>
      <c r="K272" s="160">
        <v>122</v>
      </c>
      <c r="L272" s="160"/>
      <c r="M272" s="178">
        <f>I272+K272-L272</f>
        <v>686</v>
      </c>
      <c r="N272" s="370" t="s">
        <v>1714</v>
      </c>
      <c r="O272" s="455"/>
    </row>
    <row r="273" spans="1:15" s="506" customFormat="1" ht="22.5" customHeight="1">
      <c r="A273" s="342" t="s">
        <v>1730</v>
      </c>
      <c r="B273" s="343" t="s">
        <v>400</v>
      </c>
      <c r="C273" s="344"/>
      <c r="D273" s="165">
        <f>SUM(D274:D281)</f>
        <v>121994</v>
      </c>
      <c r="E273" s="165">
        <f t="shared" ref="E273:M273" si="46">SUM(E274:E281)</f>
        <v>20955</v>
      </c>
      <c r="F273" s="165">
        <f t="shared" si="46"/>
        <v>19480</v>
      </c>
      <c r="G273" s="165"/>
      <c r="H273" s="165">
        <f t="shared" si="46"/>
        <v>6194</v>
      </c>
      <c r="I273" s="165">
        <f t="shared" si="46"/>
        <v>6194</v>
      </c>
      <c r="J273" s="165">
        <f t="shared" si="46"/>
        <v>0</v>
      </c>
      <c r="K273" s="165">
        <f t="shared" si="46"/>
        <v>7485</v>
      </c>
      <c r="L273" s="165">
        <f t="shared" si="46"/>
        <v>6194</v>
      </c>
      <c r="M273" s="165">
        <f t="shared" si="46"/>
        <v>7485</v>
      </c>
      <c r="N273" s="504"/>
      <c r="O273" s="455"/>
    </row>
    <row r="274" spans="1:15" s="506" customFormat="1" ht="83.25" customHeight="1">
      <c r="A274" s="294">
        <v>1</v>
      </c>
      <c r="B274" s="369" t="s">
        <v>1968</v>
      </c>
      <c r="C274" s="351"/>
      <c r="D274" s="168">
        <v>2694</v>
      </c>
      <c r="E274" s="168">
        <v>2694</v>
      </c>
      <c r="F274" s="168">
        <v>2694</v>
      </c>
      <c r="G274" s="168"/>
      <c r="H274" s="168">
        <v>2694</v>
      </c>
      <c r="I274" s="168">
        <v>2694</v>
      </c>
      <c r="J274" s="168"/>
      <c r="K274" s="168"/>
      <c r="L274" s="168">
        <v>2694</v>
      </c>
      <c r="M274" s="178">
        <f>I274+K274-L274</f>
        <v>0</v>
      </c>
      <c r="N274" s="173" t="s">
        <v>1969</v>
      </c>
      <c r="O274" s="538"/>
    </row>
    <row r="275" spans="1:15" s="508" customFormat="1" ht="99.75" customHeight="1">
      <c r="A275" s="357">
        <v>2</v>
      </c>
      <c r="B275" s="369" t="s">
        <v>1729</v>
      </c>
      <c r="C275" s="347" t="s">
        <v>1728</v>
      </c>
      <c r="D275" s="167">
        <v>5000</v>
      </c>
      <c r="E275" s="167">
        <v>3500</v>
      </c>
      <c r="F275" s="167">
        <v>2025</v>
      </c>
      <c r="G275" s="167">
        <v>2025</v>
      </c>
      <c r="H275" s="167">
        <v>3500</v>
      </c>
      <c r="I275" s="167">
        <v>3500</v>
      </c>
      <c r="J275" s="167"/>
      <c r="K275" s="168"/>
      <c r="L275" s="167">
        <v>3500</v>
      </c>
      <c r="M275" s="178">
        <f>I275+K275-L275</f>
        <v>0</v>
      </c>
      <c r="N275" s="375" t="s">
        <v>1727</v>
      </c>
      <c r="O275" s="455"/>
    </row>
    <row r="276" spans="1:15" s="508" customFormat="1" ht="78.75" customHeight="1">
      <c r="A276" s="294">
        <v>3</v>
      </c>
      <c r="B276" s="293" t="s">
        <v>1992</v>
      </c>
      <c r="C276" s="293" t="s">
        <v>1993</v>
      </c>
      <c r="D276" s="168">
        <v>39800</v>
      </c>
      <c r="E276" s="156">
        <v>14761</v>
      </c>
      <c r="F276" s="156">
        <v>14761</v>
      </c>
      <c r="G276" s="168"/>
      <c r="H276" s="169"/>
      <c r="I276" s="160"/>
      <c r="J276" s="293"/>
      <c r="K276" s="168">
        <v>1200</v>
      </c>
      <c r="L276" s="167"/>
      <c r="M276" s="160">
        <f t="shared" ref="M276:M281" si="47">J276+K276-L276</f>
        <v>1200</v>
      </c>
      <c r="N276" s="294" t="s">
        <v>1995</v>
      </c>
      <c r="O276" s="538"/>
    </row>
    <row r="277" spans="1:15" s="508" customFormat="1" ht="62.25" customHeight="1">
      <c r="A277" s="357">
        <v>4</v>
      </c>
      <c r="B277" s="369" t="s">
        <v>1007</v>
      </c>
      <c r="C277" s="293" t="s">
        <v>1971</v>
      </c>
      <c r="D277" s="168">
        <v>14900</v>
      </c>
      <c r="E277" s="293"/>
      <c r="F277" s="293"/>
      <c r="G277" s="168"/>
      <c r="H277" s="293"/>
      <c r="I277" s="160"/>
      <c r="J277" s="293"/>
      <c r="K277" s="168">
        <v>3000</v>
      </c>
      <c r="L277" s="293"/>
      <c r="M277" s="160">
        <f t="shared" si="47"/>
        <v>3000</v>
      </c>
      <c r="N277" s="294" t="s">
        <v>1970</v>
      </c>
      <c r="O277" s="538"/>
    </row>
    <row r="278" spans="1:15" s="508" customFormat="1" ht="57" customHeight="1">
      <c r="A278" s="294">
        <v>5</v>
      </c>
      <c r="B278" s="369" t="s">
        <v>1008</v>
      </c>
      <c r="C278" s="293" t="s">
        <v>1972</v>
      </c>
      <c r="D278" s="168">
        <v>14900</v>
      </c>
      <c r="E278" s="293"/>
      <c r="F278" s="293"/>
      <c r="G278" s="168"/>
      <c r="H278" s="293"/>
      <c r="I278" s="160"/>
      <c r="J278" s="293"/>
      <c r="K278" s="168">
        <v>300</v>
      </c>
      <c r="L278" s="293"/>
      <c r="M278" s="160">
        <f t="shared" si="47"/>
        <v>300</v>
      </c>
      <c r="N278" s="294" t="s">
        <v>1970</v>
      </c>
      <c r="O278" s="538"/>
    </row>
    <row r="279" spans="1:15" s="508" customFormat="1" ht="57" customHeight="1">
      <c r="A279" s="357">
        <v>6</v>
      </c>
      <c r="B279" s="369" t="s">
        <v>1009</v>
      </c>
      <c r="C279" s="293" t="s">
        <v>1973</v>
      </c>
      <c r="D279" s="168">
        <v>14900</v>
      </c>
      <c r="E279" s="293"/>
      <c r="F279" s="293"/>
      <c r="G279" s="168"/>
      <c r="H279" s="293"/>
      <c r="I279" s="160"/>
      <c r="J279" s="293"/>
      <c r="K279" s="168">
        <v>300</v>
      </c>
      <c r="L279" s="293"/>
      <c r="M279" s="160">
        <f t="shared" si="47"/>
        <v>300</v>
      </c>
      <c r="N279" s="294" t="s">
        <v>1970</v>
      </c>
      <c r="O279" s="538"/>
    </row>
    <row r="280" spans="1:15" s="508" customFormat="1" ht="57" customHeight="1">
      <c r="A280" s="294">
        <v>7</v>
      </c>
      <c r="B280" s="369" t="s">
        <v>1010</v>
      </c>
      <c r="C280" s="293" t="s">
        <v>1974</v>
      </c>
      <c r="D280" s="168">
        <v>14900</v>
      </c>
      <c r="E280" s="293"/>
      <c r="F280" s="293"/>
      <c r="G280" s="168"/>
      <c r="H280" s="293"/>
      <c r="I280" s="160"/>
      <c r="J280" s="293"/>
      <c r="K280" s="168">
        <v>300</v>
      </c>
      <c r="L280" s="293"/>
      <c r="M280" s="160">
        <f t="shared" si="47"/>
        <v>300</v>
      </c>
      <c r="N280" s="294" t="s">
        <v>1970</v>
      </c>
      <c r="O280" s="538"/>
    </row>
    <row r="281" spans="1:15" s="508" customFormat="1" ht="57" customHeight="1">
      <c r="A281" s="357">
        <v>8</v>
      </c>
      <c r="B281" s="369" t="s">
        <v>1011</v>
      </c>
      <c r="C281" s="293" t="s">
        <v>1975</v>
      </c>
      <c r="D281" s="168">
        <v>14900</v>
      </c>
      <c r="E281" s="293"/>
      <c r="F281" s="293"/>
      <c r="G281" s="168"/>
      <c r="H281" s="293"/>
      <c r="I281" s="160"/>
      <c r="J281" s="293"/>
      <c r="K281" s="168">
        <v>2385</v>
      </c>
      <c r="L281" s="293"/>
      <c r="M281" s="160">
        <f t="shared" si="47"/>
        <v>2385</v>
      </c>
      <c r="N281" s="294" t="s">
        <v>1970</v>
      </c>
      <c r="O281" s="538"/>
    </row>
    <row r="282" spans="1:15" s="463" customFormat="1" ht="24" customHeight="1">
      <c r="A282" s="342" t="s">
        <v>1726</v>
      </c>
      <c r="B282" s="343" t="s">
        <v>243</v>
      </c>
      <c r="C282" s="344"/>
      <c r="D282" s="159">
        <f>D283</f>
        <v>3640</v>
      </c>
      <c r="E282" s="159">
        <f>E283</f>
        <v>3640</v>
      </c>
      <c r="F282" s="159"/>
      <c r="G282" s="159"/>
      <c r="H282" s="159">
        <f t="shared" ref="H282:M282" si="48">H283</f>
        <v>3636</v>
      </c>
      <c r="I282" s="159">
        <f t="shared" si="48"/>
        <v>18</v>
      </c>
      <c r="J282" s="159">
        <f t="shared" si="48"/>
        <v>10</v>
      </c>
      <c r="K282" s="159">
        <f t="shared" si="48"/>
        <v>0</v>
      </c>
      <c r="L282" s="159">
        <f t="shared" si="48"/>
        <v>8</v>
      </c>
      <c r="M282" s="159">
        <f t="shared" si="48"/>
        <v>10</v>
      </c>
      <c r="N282" s="461"/>
      <c r="O282" s="455"/>
    </row>
    <row r="283" spans="1:15" s="465" customFormat="1" ht="54" customHeight="1">
      <c r="A283" s="342">
        <v>1</v>
      </c>
      <c r="B283" s="369" t="s">
        <v>1715</v>
      </c>
      <c r="C283" s="347" t="s">
        <v>1716</v>
      </c>
      <c r="D283" s="167">
        <v>3640</v>
      </c>
      <c r="E283" s="167">
        <v>3640</v>
      </c>
      <c r="F283" s="167" t="s">
        <v>1725</v>
      </c>
      <c r="G283" s="167">
        <v>2023</v>
      </c>
      <c r="H283" s="178">
        <v>3636</v>
      </c>
      <c r="I283" s="178">
        <v>18</v>
      </c>
      <c r="J283" s="178">
        <v>10</v>
      </c>
      <c r="K283" s="191"/>
      <c r="L283" s="178">
        <f>I283-J283</f>
        <v>8</v>
      </c>
      <c r="M283" s="178">
        <f>I283+K283-L283</f>
        <v>10</v>
      </c>
      <c r="N283" s="466" t="s">
        <v>1719</v>
      </c>
      <c r="O283" s="455"/>
    </row>
    <row r="284" spans="1:15" s="485" customFormat="1" ht="23.25" customHeight="1">
      <c r="A284" s="481" t="s">
        <v>1724</v>
      </c>
      <c r="B284" s="510" t="s">
        <v>401</v>
      </c>
      <c r="C284" s="483"/>
      <c r="D284" s="199">
        <f>SUM(D285:D287)</f>
        <v>5454</v>
      </c>
      <c r="E284" s="199">
        <f t="shared" ref="E284:M284" si="49">SUM(E285:E287)</f>
        <v>5454</v>
      </c>
      <c r="F284" s="199"/>
      <c r="G284" s="199">
        <f t="shared" si="49"/>
        <v>6073</v>
      </c>
      <c r="H284" s="199">
        <f t="shared" si="49"/>
        <v>5454</v>
      </c>
      <c r="I284" s="199">
        <f t="shared" si="49"/>
        <v>1508</v>
      </c>
      <c r="J284" s="199">
        <f t="shared" si="49"/>
        <v>103.36799999999999</v>
      </c>
      <c r="K284" s="199">
        <f t="shared" si="49"/>
        <v>0</v>
      </c>
      <c r="L284" s="199">
        <f>SUM(L285:L287)</f>
        <v>1404.6320000000001</v>
      </c>
      <c r="M284" s="199">
        <f t="shared" si="49"/>
        <v>103.36799999999999</v>
      </c>
      <c r="N284" s="484"/>
      <c r="O284" s="455"/>
    </row>
    <row r="285" spans="1:15" ht="51.75" customHeight="1">
      <c r="A285" s="357">
        <v>1</v>
      </c>
      <c r="B285" s="539" t="s">
        <v>1717</v>
      </c>
      <c r="C285" s="466" t="s">
        <v>1718</v>
      </c>
      <c r="D285" s="176">
        <v>1900</v>
      </c>
      <c r="E285" s="176">
        <v>1900</v>
      </c>
      <c r="F285" s="201" t="s">
        <v>1722</v>
      </c>
      <c r="G285" s="201">
        <v>2024</v>
      </c>
      <c r="H285" s="176">
        <v>1900</v>
      </c>
      <c r="I285" s="176">
        <v>95</v>
      </c>
      <c r="J285" s="176">
        <v>65.122</v>
      </c>
      <c r="K285" s="176"/>
      <c r="L285" s="176">
        <v>29.878</v>
      </c>
      <c r="M285" s="178">
        <f>I285+K285-L285</f>
        <v>65.122</v>
      </c>
      <c r="N285" s="466" t="s">
        <v>1719</v>
      </c>
      <c r="O285" s="455"/>
    </row>
    <row r="286" spans="1:15" ht="51.75" customHeight="1">
      <c r="A286" s="357">
        <v>2</v>
      </c>
      <c r="B286" s="539" t="s">
        <v>1720</v>
      </c>
      <c r="C286" s="466" t="s">
        <v>1721</v>
      </c>
      <c r="D286" s="176">
        <v>2254</v>
      </c>
      <c r="E286" s="176">
        <v>2254</v>
      </c>
      <c r="F286" s="201" t="s">
        <v>1722</v>
      </c>
      <c r="G286" s="201">
        <v>2024</v>
      </c>
      <c r="H286" s="176">
        <v>2254</v>
      </c>
      <c r="I286" s="176">
        <v>113</v>
      </c>
      <c r="J286" s="176">
        <v>38.245999999999995</v>
      </c>
      <c r="K286" s="176"/>
      <c r="L286" s="176">
        <v>74.754000000000005</v>
      </c>
      <c r="M286" s="178">
        <f>I286+K286-L286</f>
        <v>38.245999999999995</v>
      </c>
      <c r="N286" s="466" t="s">
        <v>1719</v>
      </c>
      <c r="O286" s="455"/>
    </row>
    <row r="287" spans="1:15" ht="48.75" customHeight="1">
      <c r="A287" s="357">
        <v>3</v>
      </c>
      <c r="B287" s="539" t="s">
        <v>1967</v>
      </c>
      <c r="C287" s="176"/>
      <c r="D287" s="176">
        <v>1300</v>
      </c>
      <c r="E287" s="176">
        <v>1300</v>
      </c>
      <c r="F287" s="176">
        <v>2025</v>
      </c>
      <c r="G287" s="176">
        <v>2025</v>
      </c>
      <c r="H287" s="176">
        <v>1300</v>
      </c>
      <c r="I287" s="176">
        <v>1300</v>
      </c>
      <c r="J287" s="176"/>
      <c r="K287" s="176"/>
      <c r="L287" s="176">
        <v>1300</v>
      </c>
      <c r="M287" s="178">
        <f>I287+K287-L287</f>
        <v>0</v>
      </c>
      <c r="N287" s="466" t="s">
        <v>1099</v>
      </c>
    </row>
  </sheetData>
  <autoFilter ref="A9:XEX286"/>
  <mergeCells count="20">
    <mergeCell ref="P6:P8"/>
    <mergeCell ref="C7:C8"/>
    <mergeCell ref="D7:E7"/>
    <mergeCell ref="K7:K8"/>
    <mergeCell ref="L7:L8"/>
    <mergeCell ref="G6:G8"/>
    <mergeCell ref="H6:H8"/>
    <mergeCell ref="A1:N1"/>
    <mergeCell ref="A2:N2"/>
    <mergeCell ref="A3:N3"/>
    <mergeCell ref="A4:N4"/>
    <mergeCell ref="A6:A8"/>
    <mergeCell ref="B6:B8"/>
    <mergeCell ref="C6:E6"/>
    <mergeCell ref="N6:N8"/>
    <mergeCell ref="M7:M8"/>
    <mergeCell ref="F6:F8"/>
    <mergeCell ref="I6:I8"/>
    <mergeCell ref="K6:M6"/>
    <mergeCell ref="J6:J8"/>
  </mergeCells>
  <conditionalFormatting sqref="B35">
    <cfRule type="duplicateValues" dxfId="20" priority="20" stopIfTrue="1"/>
  </conditionalFormatting>
  <conditionalFormatting sqref="B36">
    <cfRule type="duplicateValues" dxfId="19" priority="19" stopIfTrue="1"/>
  </conditionalFormatting>
  <conditionalFormatting sqref="B37">
    <cfRule type="duplicateValues" dxfId="18" priority="18" stopIfTrue="1"/>
  </conditionalFormatting>
  <conditionalFormatting sqref="B38">
    <cfRule type="duplicateValues" dxfId="17" priority="17" stopIfTrue="1"/>
  </conditionalFormatting>
  <conditionalFormatting sqref="B39">
    <cfRule type="duplicateValues" dxfId="16" priority="16" stopIfTrue="1"/>
  </conditionalFormatting>
  <conditionalFormatting sqref="B40">
    <cfRule type="duplicateValues" dxfId="15" priority="15" stopIfTrue="1"/>
  </conditionalFormatting>
  <conditionalFormatting sqref="B41">
    <cfRule type="duplicateValues" dxfId="14" priority="14" stopIfTrue="1"/>
  </conditionalFormatting>
  <conditionalFormatting sqref="B55">
    <cfRule type="duplicateValues" dxfId="13" priority="2" stopIfTrue="1"/>
  </conditionalFormatting>
  <conditionalFormatting sqref="B57 B46">
    <cfRule type="duplicateValues" dxfId="12" priority="21" stopIfTrue="1"/>
  </conditionalFormatting>
  <conditionalFormatting sqref="B135">
    <cfRule type="duplicateValues" dxfId="11" priority="12" stopIfTrue="1"/>
  </conditionalFormatting>
  <conditionalFormatting sqref="B136">
    <cfRule type="duplicateValues" dxfId="10" priority="11" stopIfTrue="1"/>
  </conditionalFormatting>
  <conditionalFormatting sqref="B139:B140">
    <cfRule type="duplicateValues" dxfId="9" priority="3" stopIfTrue="1"/>
  </conditionalFormatting>
  <conditionalFormatting sqref="B141">
    <cfRule type="duplicateValues" dxfId="8" priority="10" stopIfTrue="1"/>
  </conditionalFormatting>
  <conditionalFormatting sqref="B142:B143">
    <cfRule type="duplicateValues" dxfId="7" priority="9" stopIfTrue="1"/>
  </conditionalFormatting>
  <conditionalFormatting sqref="B146:B148">
    <cfRule type="duplicateValues" dxfId="6" priority="6" stopIfTrue="1"/>
  </conditionalFormatting>
  <conditionalFormatting sqref="B156">
    <cfRule type="duplicateValues" dxfId="5" priority="8" stopIfTrue="1"/>
  </conditionalFormatting>
  <conditionalFormatting sqref="B174:B187">
    <cfRule type="duplicateValues" dxfId="4" priority="7" stopIfTrue="1"/>
  </conditionalFormatting>
  <conditionalFormatting sqref="B188">
    <cfRule type="duplicateValues" dxfId="3" priority="13" stopIfTrue="1"/>
  </conditionalFormatting>
  <conditionalFormatting sqref="B194">
    <cfRule type="duplicateValues" dxfId="2" priority="4" stopIfTrue="1"/>
  </conditionalFormatting>
  <conditionalFormatting sqref="B195">
    <cfRule type="duplicateValues" dxfId="1" priority="5" stopIfTrue="1"/>
  </conditionalFormatting>
  <conditionalFormatting sqref="N55">
    <cfRule type="duplicateValues" dxfId="0" priority="1" stopIfTrue="1"/>
  </conditionalFormatting>
  <printOptions horizontalCentered="1"/>
  <pageMargins left="0.47244094488188981" right="0.23622047244094491" top="0.43307086614173229" bottom="0.43307086614173229" header="0.31496062992125984" footer="0.31496062992125984"/>
  <pageSetup paperSize="9" scale="65" fitToHeight="0" orientation="landscape" r:id="rId1"/>
</worksheet>
</file>

<file path=xl/worksheets/sheet6.xml><?xml version="1.0" encoding="utf-8"?>
<worksheet xmlns="http://schemas.openxmlformats.org/spreadsheetml/2006/main" xmlns:r="http://schemas.openxmlformats.org/officeDocument/2006/relationships">
  <sheetPr>
    <tabColor rgb="FFFF0000"/>
  </sheetPr>
  <dimension ref="A1:E21"/>
  <sheetViews>
    <sheetView workbookViewId="0">
      <selection activeCell="D17" sqref="D17"/>
    </sheetView>
  </sheetViews>
  <sheetFormatPr defaultColWidth="9.1328125" defaultRowHeight="13.9"/>
  <cols>
    <col min="1" max="1" width="6.59765625" style="13" customWidth="1"/>
    <col min="2" max="2" width="22.59765625" style="147" customWidth="1"/>
    <col min="3" max="3" width="15.59765625" style="147" customWidth="1"/>
    <col min="4" max="4" width="37.265625" style="147" customWidth="1"/>
    <col min="5" max="5" width="43.3984375" style="147" customWidth="1"/>
    <col min="6" max="16384" width="9.1328125" style="13"/>
  </cols>
  <sheetData>
    <row r="1" spans="1:5" s="151" customFormat="1" ht="13.5">
      <c r="A1" s="151" t="s">
        <v>1084</v>
      </c>
      <c r="B1" s="152"/>
      <c r="C1" s="152"/>
      <c r="D1" s="152"/>
      <c r="E1" s="152"/>
    </row>
    <row r="3" spans="1:5" s="151" customFormat="1" ht="13.5">
      <c r="A3" s="149" t="s">
        <v>0</v>
      </c>
      <c r="B3" s="150" t="s">
        <v>872</v>
      </c>
      <c r="C3" s="150" t="s">
        <v>1085</v>
      </c>
      <c r="D3" s="150" t="s">
        <v>1086</v>
      </c>
      <c r="E3" s="150" t="s">
        <v>1087</v>
      </c>
    </row>
    <row r="4" spans="1:5" ht="41.65">
      <c r="A4" s="146"/>
      <c r="B4" s="148" t="s">
        <v>1088</v>
      </c>
      <c r="C4" s="148" t="s">
        <v>1089</v>
      </c>
      <c r="D4" s="148" t="s">
        <v>1090</v>
      </c>
      <c r="E4" s="148" t="s">
        <v>1092</v>
      </c>
    </row>
    <row r="5" spans="1:5" ht="27.75">
      <c r="A5" s="146"/>
      <c r="B5" s="148" t="s">
        <v>1093</v>
      </c>
      <c r="C5" s="148" t="s">
        <v>1094</v>
      </c>
      <c r="D5" s="148" t="s">
        <v>1095</v>
      </c>
      <c r="E5" s="148"/>
    </row>
    <row r="6" spans="1:5" ht="152.65">
      <c r="A6" s="146"/>
      <c r="B6" s="148" t="s">
        <v>1096</v>
      </c>
      <c r="C6" s="148" t="s">
        <v>1097</v>
      </c>
      <c r="D6" s="153" t="s">
        <v>1098</v>
      </c>
      <c r="E6" s="148" t="s">
        <v>1100</v>
      </c>
    </row>
    <row r="7" spans="1:5" ht="27.75">
      <c r="A7" s="146"/>
      <c r="B7" s="148" t="s">
        <v>893</v>
      </c>
      <c r="C7" s="148" t="s">
        <v>1101</v>
      </c>
      <c r="D7" s="153" t="s">
        <v>1102</v>
      </c>
      <c r="E7" s="148" t="s">
        <v>1103</v>
      </c>
    </row>
    <row r="8" spans="1:5" ht="27.75">
      <c r="A8" s="146"/>
      <c r="B8" s="148" t="s">
        <v>1105</v>
      </c>
      <c r="C8" s="148" t="s">
        <v>1106</v>
      </c>
      <c r="D8" s="148" t="s">
        <v>1107</v>
      </c>
      <c r="E8" s="148" t="s">
        <v>1108</v>
      </c>
    </row>
    <row r="9" spans="1:5" ht="69.400000000000006">
      <c r="A9" s="146"/>
      <c r="B9" s="148" t="s">
        <v>1110</v>
      </c>
      <c r="C9" s="148" t="s">
        <v>1111</v>
      </c>
      <c r="D9" s="148" t="s">
        <v>1112</v>
      </c>
      <c r="E9" s="148" t="s">
        <v>1113</v>
      </c>
    </row>
    <row r="10" spans="1:5">
      <c r="A10" s="146"/>
      <c r="B10" s="148" t="s">
        <v>1114</v>
      </c>
      <c r="C10" s="148" t="s">
        <v>1115</v>
      </c>
      <c r="D10" s="148" t="s">
        <v>1116</v>
      </c>
      <c r="E10" s="148"/>
    </row>
    <row r="11" spans="1:5" ht="27.75">
      <c r="A11" s="146"/>
      <c r="B11" s="148" t="s">
        <v>1117</v>
      </c>
      <c r="C11" s="148" t="s">
        <v>1118</v>
      </c>
      <c r="D11" s="148" t="s">
        <v>1119</v>
      </c>
      <c r="E11" s="148" t="s">
        <v>1120</v>
      </c>
    </row>
    <row r="12" spans="1:5" ht="41.65">
      <c r="A12" s="146"/>
      <c r="B12" s="148" t="s">
        <v>904</v>
      </c>
      <c r="C12" s="148" t="s">
        <v>1121</v>
      </c>
      <c r="D12" s="148" t="s">
        <v>1122</v>
      </c>
      <c r="E12" s="148" t="s">
        <v>1108</v>
      </c>
    </row>
    <row r="13" spans="1:5" ht="27.75">
      <c r="A13" s="146"/>
      <c r="B13" s="148" t="s">
        <v>1123</v>
      </c>
      <c r="C13" s="148" t="s">
        <v>1124</v>
      </c>
      <c r="D13" s="148" t="s">
        <v>1125</v>
      </c>
      <c r="E13" s="148" t="s">
        <v>1108</v>
      </c>
    </row>
    <row r="14" spans="1:5" ht="27.75">
      <c r="A14" s="146"/>
      <c r="B14" s="148" t="s">
        <v>1126</v>
      </c>
      <c r="C14" s="148" t="s">
        <v>1127</v>
      </c>
      <c r="D14" s="148" t="s">
        <v>1095</v>
      </c>
      <c r="E14" s="148"/>
    </row>
    <row r="15" spans="1:5">
      <c r="A15" s="146"/>
      <c r="B15" s="148" t="s">
        <v>897</v>
      </c>
      <c r="C15" s="148" t="s">
        <v>1128</v>
      </c>
      <c r="D15" s="148" t="s">
        <v>1095</v>
      </c>
      <c r="E15" s="148"/>
    </row>
    <row r="16" spans="1:5" ht="41.65">
      <c r="A16" s="146"/>
      <c r="B16" s="148" t="s">
        <v>1129</v>
      </c>
      <c r="C16" s="148" t="s">
        <v>1130</v>
      </c>
      <c r="D16" s="148" t="s">
        <v>1131</v>
      </c>
      <c r="E16" s="148" t="s">
        <v>1132</v>
      </c>
    </row>
    <row r="17" spans="1:5" ht="41.65">
      <c r="A17" s="146"/>
      <c r="B17" s="148" t="s">
        <v>933</v>
      </c>
      <c r="C17" s="148" t="s">
        <v>1133</v>
      </c>
      <c r="D17" s="148" t="s">
        <v>1134</v>
      </c>
      <c r="E17" s="148" t="s">
        <v>1135</v>
      </c>
    </row>
    <row r="18" spans="1:5" ht="41.65">
      <c r="A18" s="146"/>
      <c r="B18" s="148" t="s">
        <v>892</v>
      </c>
      <c r="C18" s="148" t="s">
        <v>1136</v>
      </c>
      <c r="D18" s="148" t="s">
        <v>1137</v>
      </c>
      <c r="E18" s="148" t="s">
        <v>1254</v>
      </c>
    </row>
    <row r="19" spans="1:5">
      <c r="A19" s="146"/>
      <c r="B19" s="148"/>
      <c r="C19" s="148"/>
      <c r="D19" s="148"/>
      <c r="E19" s="148"/>
    </row>
    <row r="20" spans="1:5">
      <c r="A20" s="146"/>
      <c r="B20" s="148"/>
      <c r="C20" s="148"/>
      <c r="D20" s="148"/>
      <c r="E20" s="148"/>
    </row>
    <row r="21" spans="1:5">
      <c r="A21" s="146"/>
      <c r="B21" s="148"/>
      <c r="C21" s="148"/>
      <c r="D21" s="148"/>
      <c r="E21" s="14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X159"/>
  <sheetViews>
    <sheetView showZeros="0" view="pageBreakPreview" zoomScale="60" zoomScaleNormal="60" workbookViewId="0">
      <pane xSplit="2" ySplit="11" topLeftCell="E143" activePane="bottomRight" state="frozen"/>
      <selection pane="topRight" activeCell="C1" sqref="C1"/>
      <selection pane="bottomLeft" activeCell="A12" sqref="A12"/>
      <selection pane="bottomRight" activeCell="S144" sqref="S144:S145"/>
    </sheetView>
  </sheetViews>
  <sheetFormatPr defaultColWidth="9.1328125" defaultRowHeight="15.4"/>
  <cols>
    <col min="1" max="1" width="6.86328125" style="3" customWidth="1"/>
    <col min="2" max="2" width="35" style="1" customWidth="1"/>
    <col min="3" max="3" width="9.86328125" style="3" customWidth="1"/>
    <col min="4" max="6" width="9.1328125" style="1"/>
    <col min="7" max="7" width="16.86328125" style="1" customWidth="1"/>
    <col min="8" max="8" width="15" style="1" customWidth="1"/>
    <col min="9" max="11" width="15.86328125" style="1" customWidth="1"/>
    <col min="12" max="12" width="13" style="1" customWidth="1"/>
    <col min="13" max="30" width="14.1328125" style="1" customWidth="1"/>
    <col min="31" max="31" width="13.73046875" style="1" customWidth="1"/>
    <col min="32" max="32" width="11.59765625" style="1" customWidth="1"/>
    <col min="33" max="38" width="13.3984375" style="1" customWidth="1"/>
    <col min="39" max="39" width="18.59765625" style="1" customWidth="1"/>
    <col min="40" max="40" width="12.59765625" style="1" customWidth="1"/>
    <col min="41" max="41" width="12.59765625" style="140" customWidth="1"/>
    <col min="42" max="42" width="12.59765625" style="142" customWidth="1"/>
    <col min="43" max="43" width="17.73046875" style="1" customWidth="1"/>
    <col min="44" max="44" width="9.1328125" style="1"/>
    <col min="45" max="48" width="9.1328125" style="20"/>
    <col min="49" max="16384" width="9.1328125" style="1"/>
  </cols>
  <sheetData>
    <row r="1" spans="1:49" s="4" customFormat="1" ht="15">
      <c r="A1" s="746" t="s">
        <v>63</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c r="AN1" s="746"/>
      <c r="AO1" s="746"/>
      <c r="AP1" s="746"/>
      <c r="AQ1" s="746"/>
      <c r="AS1" s="14"/>
      <c r="AT1" s="14"/>
      <c r="AU1" s="14"/>
      <c r="AV1" s="14"/>
    </row>
    <row r="2" spans="1:49" ht="33" customHeight="1">
      <c r="A2" s="747" t="s">
        <v>100</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c r="AN2" s="748"/>
      <c r="AO2" s="748"/>
      <c r="AP2" s="748"/>
      <c r="AQ2" s="748"/>
    </row>
    <row r="3" spans="1:49">
      <c r="A3" s="749" t="str">
        <f>'B1 TH 21-25'!A3</f>
        <v>(Kèm theo Nghị quyết số                /NQ-HĐND ngày  28/4/2025 của Hội đồng nhân dân tỉnh)</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749"/>
      <c r="AJ3" s="749"/>
      <c r="AK3" s="749"/>
      <c r="AL3" s="749"/>
      <c r="AM3" s="749"/>
      <c r="AN3" s="749"/>
      <c r="AO3" s="749"/>
      <c r="AP3" s="749"/>
      <c r="AQ3" s="749"/>
    </row>
    <row r="4" spans="1:49">
      <c r="A4" s="750" t="s">
        <v>30</v>
      </c>
      <c r="B4" s="750"/>
      <c r="C4" s="750"/>
      <c r="D4" s="750"/>
      <c r="E4" s="750"/>
      <c r="F4" s="750"/>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0"/>
      <c r="AK4" s="750"/>
      <c r="AL4" s="750"/>
      <c r="AM4" s="750"/>
      <c r="AN4" s="750"/>
      <c r="AO4" s="750"/>
      <c r="AP4" s="750"/>
      <c r="AQ4" s="750"/>
    </row>
    <row r="5" spans="1:49" ht="15.75" customHeight="1">
      <c r="A5" s="741" t="s">
        <v>0</v>
      </c>
      <c r="B5" s="741" t="s">
        <v>1</v>
      </c>
      <c r="C5" s="735" t="s">
        <v>82</v>
      </c>
      <c r="D5" s="741" t="s">
        <v>2</v>
      </c>
      <c r="E5" s="751" t="s">
        <v>3</v>
      </c>
      <c r="F5" s="752"/>
      <c r="G5" s="735" t="s">
        <v>4</v>
      </c>
      <c r="H5" s="741" t="s">
        <v>5</v>
      </c>
      <c r="I5" s="741"/>
      <c r="J5" s="741"/>
      <c r="K5" s="741" t="s">
        <v>6</v>
      </c>
      <c r="L5" s="741"/>
      <c r="M5" s="751" t="s">
        <v>83</v>
      </c>
      <c r="N5" s="755"/>
      <c r="O5" s="752"/>
      <c r="P5" s="738" t="s">
        <v>80</v>
      </c>
      <c r="Q5" s="740"/>
      <c r="R5" s="740"/>
      <c r="S5" s="740"/>
      <c r="T5" s="740"/>
      <c r="U5" s="740"/>
      <c r="V5" s="740"/>
      <c r="W5" s="740"/>
      <c r="X5" s="740"/>
      <c r="Y5" s="740"/>
      <c r="Z5" s="740"/>
      <c r="AA5" s="740"/>
      <c r="AB5" s="740"/>
      <c r="AC5" s="740"/>
      <c r="AD5" s="740"/>
      <c r="AE5" s="740"/>
      <c r="AF5" s="740"/>
      <c r="AG5" s="740"/>
      <c r="AH5" s="740"/>
      <c r="AI5" s="740"/>
      <c r="AJ5" s="740"/>
      <c r="AK5" s="740"/>
      <c r="AL5" s="740"/>
      <c r="AM5" s="740"/>
      <c r="AN5" s="739"/>
      <c r="AO5" s="729" t="s">
        <v>1037</v>
      </c>
      <c r="AP5" s="732" t="s">
        <v>1038</v>
      </c>
      <c r="AQ5" s="741" t="s">
        <v>13</v>
      </c>
      <c r="AS5" s="757" t="s">
        <v>111</v>
      </c>
      <c r="AT5" s="758"/>
      <c r="AU5" s="758"/>
      <c r="AV5" s="759"/>
    </row>
    <row r="6" spans="1:49" ht="36.75" customHeight="1">
      <c r="A6" s="741"/>
      <c r="B6" s="741"/>
      <c r="C6" s="736"/>
      <c r="D6" s="741"/>
      <c r="E6" s="753"/>
      <c r="F6" s="754"/>
      <c r="G6" s="736"/>
      <c r="H6" s="741"/>
      <c r="I6" s="741"/>
      <c r="J6" s="741"/>
      <c r="K6" s="741"/>
      <c r="L6" s="741"/>
      <c r="M6" s="753"/>
      <c r="N6" s="756"/>
      <c r="O6" s="754"/>
      <c r="P6" s="738" t="s">
        <v>8</v>
      </c>
      <c r="Q6" s="740"/>
      <c r="R6" s="740"/>
      <c r="S6" s="740"/>
      <c r="T6" s="739"/>
      <c r="U6" s="738" t="s">
        <v>9</v>
      </c>
      <c r="V6" s="740"/>
      <c r="W6" s="740"/>
      <c r="X6" s="740"/>
      <c r="Y6" s="739"/>
      <c r="Z6" s="738" t="s">
        <v>10</v>
      </c>
      <c r="AA6" s="740"/>
      <c r="AB6" s="740"/>
      <c r="AC6" s="740"/>
      <c r="AD6" s="739"/>
      <c r="AE6" s="738" t="s">
        <v>11</v>
      </c>
      <c r="AF6" s="740"/>
      <c r="AG6" s="740"/>
      <c r="AH6" s="740"/>
      <c r="AI6" s="739"/>
      <c r="AJ6" s="738" t="s">
        <v>12</v>
      </c>
      <c r="AK6" s="740"/>
      <c r="AL6" s="740"/>
      <c r="AM6" s="740"/>
      <c r="AN6" s="739"/>
      <c r="AO6" s="730"/>
      <c r="AP6" s="733"/>
      <c r="AQ6" s="741"/>
      <c r="AS6" s="760" t="s">
        <v>113</v>
      </c>
      <c r="AT6" s="760" t="s">
        <v>112</v>
      </c>
      <c r="AU6" s="760" t="s">
        <v>114</v>
      </c>
      <c r="AV6" s="760" t="s">
        <v>115</v>
      </c>
    </row>
    <row r="7" spans="1:49" ht="15.75" customHeight="1">
      <c r="A7" s="741"/>
      <c r="B7" s="741"/>
      <c r="C7" s="736"/>
      <c r="D7" s="741"/>
      <c r="E7" s="735" t="s">
        <v>14</v>
      </c>
      <c r="F7" s="735" t="s">
        <v>15</v>
      </c>
      <c r="G7" s="736"/>
      <c r="H7" s="741" t="s">
        <v>16</v>
      </c>
      <c r="I7" s="741" t="s">
        <v>17</v>
      </c>
      <c r="J7" s="741"/>
      <c r="K7" s="741" t="s">
        <v>18</v>
      </c>
      <c r="L7" s="741" t="s">
        <v>41</v>
      </c>
      <c r="M7" s="735" t="s">
        <v>22</v>
      </c>
      <c r="N7" s="742" t="s">
        <v>23</v>
      </c>
      <c r="O7" s="742"/>
      <c r="P7" s="741" t="s">
        <v>20</v>
      </c>
      <c r="Q7" s="741"/>
      <c r="R7" s="738" t="s">
        <v>21</v>
      </c>
      <c r="S7" s="740"/>
      <c r="T7" s="739"/>
      <c r="U7" s="738" t="s">
        <v>20</v>
      </c>
      <c r="V7" s="739"/>
      <c r="W7" s="738" t="s">
        <v>21</v>
      </c>
      <c r="X7" s="740"/>
      <c r="Y7" s="739"/>
      <c r="Z7" s="738" t="s">
        <v>20</v>
      </c>
      <c r="AA7" s="739"/>
      <c r="AB7" s="738" t="s">
        <v>21</v>
      </c>
      <c r="AC7" s="740"/>
      <c r="AD7" s="739"/>
      <c r="AE7" s="738" t="s">
        <v>20</v>
      </c>
      <c r="AF7" s="739"/>
      <c r="AG7" s="738" t="s">
        <v>81</v>
      </c>
      <c r="AH7" s="740"/>
      <c r="AI7" s="739"/>
      <c r="AJ7" s="738" t="s">
        <v>20</v>
      </c>
      <c r="AK7" s="739"/>
      <c r="AL7" s="738" t="s">
        <v>81</v>
      </c>
      <c r="AM7" s="740"/>
      <c r="AN7" s="739"/>
      <c r="AO7" s="730"/>
      <c r="AP7" s="733"/>
      <c r="AQ7" s="741"/>
      <c r="AS7" s="761"/>
      <c r="AT7" s="761"/>
      <c r="AU7" s="761"/>
      <c r="AV7" s="761"/>
    </row>
    <row r="8" spans="1:49" ht="15.75" customHeight="1">
      <c r="A8" s="741"/>
      <c r="B8" s="741"/>
      <c r="C8" s="736"/>
      <c r="D8" s="741"/>
      <c r="E8" s="736"/>
      <c r="F8" s="736"/>
      <c r="G8" s="736"/>
      <c r="H8" s="741"/>
      <c r="I8" s="741" t="s">
        <v>18</v>
      </c>
      <c r="J8" s="741" t="s">
        <v>41</v>
      </c>
      <c r="K8" s="741"/>
      <c r="L8" s="741"/>
      <c r="M8" s="736"/>
      <c r="N8" s="743" t="s">
        <v>25</v>
      </c>
      <c r="O8" s="743" t="s">
        <v>26</v>
      </c>
      <c r="P8" s="735" t="s">
        <v>22</v>
      </c>
      <c r="Q8" s="735" t="s">
        <v>31</v>
      </c>
      <c r="R8" s="735" t="s">
        <v>22</v>
      </c>
      <c r="S8" s="738" t="s">
        <v>24</v>
      </c>
      <c r="T8" s="739"/>
      <c r="U8" s="735" t="s">
        <v>22</v>
      </c>
      <c r="V8" s="735" t="s">
        <v>32</v>
      </c>
      <c r="W8" s="735" t="s">
        <v>22</v>
      </c>
      <c r="X8" s="738" t="s">
        <v>24</v>
      </c>
      <c r="Y8" s="739"/>
      <c r="Z8" s="735" t="s">
        <v>22</v>
      </c>
      <c r="AA8" s="735" t="s">
        <v>86</v>
      </c>
      <c r="AB8" s="735" t="s">
        <v>22</v>
      </c>
      <c r="AC8" s="738" t="s">
        <v>24</v>
      </c>
      <c r="AD8" s="739"/>
      <c r="AE8" s="735" t="s">
        <v>22</v>
      </c>
      <c r="AF8" s="735" t="s">
        <v>89</v>
      </c>
      <c r="AG8" s="735" t="s">
        <v>22</v>
      </c>
      <c r="AH8" s="738" t="s">
        <v>24</v>
      </c>
      <c r="AI8" s="739"/>
      <c r="AJ8" s="735" t="s">
        <v>22</v>
      </c>
      <c r="AK8" s="735" t="s">
        <v>92</v>
      </c>
      <c r="AL8" s="735" t="s">
        <v>22</v>
      </c>
      <c r="AM8" s="738" t="s">
        <v>24</v>
      </c>
      <c r="AN8" s="739"/>
      <c r="AO8" s="730"/>
      <c r="AP8" s="733"/>
      <c r="AQ8" s="741"/>
      <c r="AS8" s="761"/>
      <c r="AT8" s="761"/>
      <c r="AU8" s="761"/>
      <c r="AV8" s="761"/>
    </row>
    <row r="9" spans="1:49" ht="15.75" customHeight="1">
      <c r="A9" s="741"/>
      <c r="B9" s="741"/>
      <c r="C9" s="736"/>
      <c r="D9" s="741"/>
      <c r="E9" s="736"/>
      <c r="F9" s="736"/>
      <c r="G9" s="736"/>
      <c r="H9" s="741"/>
      <c r="I9" s="741"/>
      <c r="J9" s="741"/>
      <c r="K9" s="741"/>
      <c r="L9" s="741"/>
      <c r="M9" s="736"/>
      <c r="N9" s="744"/>
      <c r="O9" s="744"/>
      <c r="P9" s="736"/>
      <c r="Q9" s="736"/>
      <c r="R9" s="736"/>
      <c r="S9" s="735" t="s">
        <v>84</v>
      </c>
      <c r="T9" s="735" t="s">
        <v>102</v>
      </c>
      <c r="U9" s="736"/>
      <c r="V9" s="736"/>
      <c r="W9" s="736"/>
      <c r="X9" s="735" t="s">
        <v>85</v>
      </c>
      <c r="Y9" s="735" t="s">
        <v>103</v>
      </c>
      <c r="Z9" s="736"/>
      <c r="AA9" s="736"/>
      <c r="AB9" s="736"/>
      <c r="AC9" s="735" t="s">
        <v>88</v>
      </c>
      <c r="AD9" s="735" t="s">
        <v>104</v>
      </c>
      <c r="AE9" s="736"/>
      <c r="AF9" s="736"/>
      <c r="AG9" s="736"/>
      <c r="AH9" s="735" t="s">
        <v>90</v>
      </c>
      <c r="AI9" s="735" t="s">
        <v>105</v>
      </c>
      <c r="AJ9" s="736"/>
      <c r="AK9" s="736"/>
      <c r="AL9" s="736"/>
      <c r="AM9" s="735" t="s">
        <v>93</v>
      </c>
      <c r="AN9" s="735" t="s">
        <v>106</v>
      </c>
      <c r="AO9" s="730"/>
      <c r="AP9" s="733"/>
      <c r="AQ9" s="741"/>
      <c r="AS9" s="761"/>
      <c r="AT9" s="761"/>
      <c r="AU9" s="761"/>
      <c r="AV9" s="761"/>
    </row>
    <row r="10" spans="1:49">
      <c r="A10" s="741"/>
      <c r="B10" s="741"/>
      <c r="C10" s="736"/>
      <c r="D10" s="741"/>
      <c r="E10" s="736"/>
      <c r="F10" s="736"/>
      <c r="G10" s="736"/>
      <c r="H10" s="741"/>
      <c r="I10" s="741"/>
      <c r="J10" s="741"/>
      <c r="K10" s="741"/>
      <c r="L10" s="741"/>
      <c r="M10" s="736"/>
      <c r="N10" s="744"/>
      <c r="O10" s="744"/>
      <c r="P10" s="736"/>
      <c r="Q10" s="736"/>
      <c r="R10" s="736"/>
      <c r="S10" s="736"/>
      <c r="T10" s="736"/>
      <c r="U10" s="736"/>
      <c r="V10" s="736"/>
      <c r="W10" s="736"/>
      <c r="X10" s="736"/>
      <c r="Y10" s="736"/>
      <c r="Z10" s="736"/>
      <c r="AA10" s="736"/>
      <c r="AB10" s="736"/>
      <c r="AC10" s="736"/>
      <c r="AD10" s="736"/>
      <c r="AE10" s="736"/>
      <c r="AF10" s="736"/>
      <c r="AG10" s="736"/>
      <c r="AH10" s="736"/>
      <c r="AI10" s="736"/>
      <c r="AJ10" s="736"/>
      <c r="AK10" s="736"/>
      <c r="AL10" s="736"/>
      <c r="AM10" s="736"/>
      <c r="AN10" s="736"/>
      <c r="AO10" s="730"/>
      <c r="AP10" s="733"/>
      <c r="AQ10" s="741"/>
      <c r="AS10" s="762"/>
      <c r="AT10" s="762"/>
      <c r="AU10" s="762"/>
      <c r="AV10" s="762"/>
    </row>
    <row r="11" spans="1:49" ht="64.5" customHeight="1">
      <c r="A11" s="741"/>
      <c r="B11" s="741"/>
      <c r="C11" s="737"/>
      <c r="D11" s="741"/>
      <c r="E11" s="737"/>
      <c r="F11" s="737"/>
      <c r="G11" s="737"/>
      <c r="H11" s="741"/>
      <c r="I11" s="741"/>
      <c r="J11" s="741"/>
      <c r="K11" s="741"/>
      <c r="L11" s="741"/>
      <c r="M11" s="737"/>
      <c r="N11" s="745"/>
      <c r="O11" s="745"/>
      <c r="P11" s="737"/>
      <c r="Q11" s="737"/>
      <c r="R11" s="737"/>
      <c r="S11" s="737"/>
      <c r="T11" s="737"/>
      <c r="U11" s="737"/>
      <c r="V11" s="737"/>
      <c r="W11" s="737"/>
      <c r="X11" s="737"/>
      <c r="Y11" s="737"/>
      <c r="Z11" s="737"/>
      <c r="AA11" s="737"/>
      <c r="AB11" s="737"/>
      <c r="AC11" s="737"/>
      <c r="AD11" s="737"/>
      <c r="AE11" s="737"/>
      <c r="AF11" s="737"/>
      <c r="AG11" s="737"/>
      <c r="AH11" s="737"/>
      <c r="AI11" s="737"/>
      <c r="AJ11" s="737"/>
      <c r="AK11" s="737"/>
      <c r="AL11" s="737"/>
      <c r="AM11" s="737"/>
      <c r="AN11" s="737"/>
      <c r="AO11" s="731"/>
      <c r="AP11" s="734"/>
      <c r="AQ11" s="741"/>
      <c r="AS11" s="7"/>
      <c r="AT11" s="7"/>
      <c r="AU11" s="7"/>
      <c r="AV11" s="7"/>
    </row>
    <row r="12" spans="1:49">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t="s">
        <v>27</v>
      </c>
      <c r="S12" s="2">
        <v>19</v>
      </c>
      <c r="T12" s="2">
        <v>20</v>
      </c>
      <c r="U12" s="2">
        <v>21</v>
      </c>
      <c r="V12" s="2">
        <v>22</v>
      </c>
      <c r="W12" s="2" t="s">
        <v>28</v>
      </c>
      <c r="X12" s="2">
        <v>24</v>
      </c>
      <c r="Y12" s="2">
        <v>25</v>
      </c>
      <c r="Z12" s="2">
        <v>26</v>
      </c>
      <c r="AA12" s="2">
        <v>27</v>
      </c>
      <c r="AB12" s="2" t="s">
        <v>87</v>
      </c>
      <c r="AC12" s="2">
        <v>29</v>
      </c>
      <c r="AD12" s="2">
        <v>30</v>
      </c>
      <c r="AE12" s="2">
        <v>31</v>
      </c>
      <c r="AF12" s="2">
        <v>32</v>
      </c>
      <c r="AG12" s="2" t="s">
        <v>91</v>
      </c>
      <c r="AH12" s="2">
        <v>34</v>
      </c>
      <c r="AI12" s="2">
        <v>35</v>
      </c>
      <c r="AJ12" s="2">
        <v>36</v>
      </c>
      <c r="AK12" s="2">
        <v>37</v>
      </c>
      <c r="AL12" s="2" t="s">
        <v>94</v>
      </c>
      <c r="AM12" s="2">
        <v>39</v>
      </c>
      <c r="AN12" s="2">
        <v>40</v>
      </c>
      <c r="AO12" s="137"/>
      <c r="AP12" s="138"/>
      <c r="AQ12" s="2">
        <v>41</v>
      </c>
      <c r="AS12" s="7"/>
      <c r="AT12" s="7"/>
      <c r="AU12" s="7"/>
      <c r="AV12" s="7"/>
    </row>
    <row r="13" spans="1:49" s="6" customFormat="1" ht="31.5" customHeight="1">
      <c r="A13" s="79"/>
      <c r="B13" s="84" t="s">
        <v>68</v>
      </c>
      <c r="C13" s="84"/>
      <c r="D13" s="78"/>
      <c r="E13" s="78"/>
      <c r="F13" s="78"/>
      <c r="G13" s="78"/>
      <c r="H13" s="99"/>
      <c r="I13" s="100">
        <f t="shared" ref="I13:AN13" si="0">I14+I149</f>
        <v>20641689.5</v>
      </c>
      <c r="J13" s="100">
        <f t="shared" si="0"/>
        <v>17163133.5</v>
      </c>
      <c r="K13" s="100">
        <f t="shared" si="0"/>
        <v>10283498</v>
      </c>
      <c r="L13" s="100">
        <f t="shared" si="0"/>
        <v>8993184</v>
      </c>
      <c r="M13" s="100">
        <f t="shared" si="0"/>
        <v>7035719.5</v>
      </c>
      <c r="N13" s="100">
        <f t="shared" si="0"/>
        <v>436520</v>
      </c>
      <c r="O13" s="100">
        <f t="shared" si="0"/>
        <v>0</v>
      </c>
      <c r="P13" s="100">
        <f t="shared" si="0"/>
        <v>1556626</v>
      </c>
      <c r="Q13" s="100">
        <f t="shared" si="0"/>
        <v>7828.9249459999992</v>
      </c>
      <c r="R13" s="100">
        <f t="shared" si="0"/>
        <v>1027135.201562</v>
      </c>
      <c r="S13" s="100">
        <f t="shared" si="0"/>
        <v>1021635.4405</v>
      </c>
      <c r="T13" s="100">
        <f t="shared" si="0"/>
        <v>5499.7610620000005</v>
      </c>
      <c r="U13" s="100">
        <f t="shared" si="0"/>
        <v>1494876</v>
      </c>
      <c r="V13" s="100">
        <f t="shared" si="0"/>
        <v>105608.566854</v>
      </c>
      <c r="W13" s="100">
        <f t="shared" si="0"/>
        <v>1451763.6085859998</v>
      </c>
      <c r="X13" s="100">
        <f t="shared" si="0"/>
        <v>1359709.375887</v>
      </c>
      <c r="Y13" s="100">
        <f t="shared" si="0"/>
        <v>92054.232699</v>
      </c>
      <c r="Z13" s="100">
        <f t="shared" si="0"/>
        <v>1903899.9750000001</v>
      </c>
      <c r="AA13" s="100">
        <f t="shared" si="0"/>
        <v>189219.85725</v>
      </c>
      <c r="AB13" s="100">
        <f t="shared" si="0"/>
        <v>1860316.7345100001</v>
      </c>
      <c r="AC13" s="100">
        <f t="shared" si="0"/>
        <v>1671096.87726</v>
      </c>
      <c r="AD13" s="100">
        <f t="shared" si="0"/>
        <v>189219.85725</v>
      </c>
      <c r="AE13" s="100">
        <f t="shared" si="0"/>
        <v>1326319.5478670001</v>
      </c>
      <c r="AF13" s="100">
        <f t="shared" si="0"/>
        <v>0</v>
      </c>
      <c r="AG13" s="100">
        <f t="shared" si="0"/>
        <v>1325594.5478670001</v>
      </c>
      <c r="AH13" s="100">
        <f t="shared" si="0"/>
        <v>1316173.093569</v>
      </c>
      <c r="AI13" s="100">
        <f t="shared" si="0"/>
        <v>0</v>
      </c>
      <c r="AJ13" s="100">
        <f t="shared" si="0"/>
        <v>1183968.977133</v>
      </c>
      <c r="AK13" s="100">
        <f t="shared" si="0"/>
        <v>0</v>
      </c>
      <c r="AL13" s="100">
        <f t="shared" si="0"/>
        <v>0</v>
      </c>
      <c r="AM13" s="100">
        <f t="shared" si="0"/>
        <v>0</v>
      </c>
      <c r="AN13" s="100">
        <f t="shared" si="0"/>
        <v>0</v>
      </c>
      <c r="AO13" s="139">
        <f>P13+U13+Z13+AE13</f>
        <v>6281721.5228669997</v>
      </c>
      <c r="AP13" s="141">
        <f>M13-AO13</f>
        <v>753997.97713300027</v>
      </c>
      <c r="AQ13" s="78"/>
      <c r="AR13" s="76" t="s">
        <v>79</v>
      </c>
      <c r="AS13" s="5"/>
      <c r="AT13" s="5"/>
      <c r="AU13" s="5"/>
      <c r="AV13" s="5"/>
      <c r="AW13" s="6" t="s">
        <v>964</v>
      </c>
    </row>
    <row r="14" spans="1:49" s="9" customFormat="1" ht="17.25">
      <c r="A14" s="19" t="s">
        <v>37</v>
      </c>
      <c r="B14" s="87" t="s">
        <v>116</v>
      </c>
      <c r="C14" s="77"/>
      <c r="D14" s="77"/>
      <c r="E14" s="77"/>
      <c r="F14" s="77"/>
      <c r="G14" s="77"/>
      <c r="H14" s="19"/>
      <c r="I14" s="100">
        <f t="shared" ref="I14:AN14" si="1">I15+I147</f>
        <v>20395689.5</v>
      </c>
      <c r="J14" s="100">
        <f t="shared" si="1"/>
        <v>16917133.5</v>
      </c>
      <c r="K14" s="100">
        <f t="shared" si="1"/>
        <v>10283498</v>
      </c>
      <c r="L14" s="100">
        <f t="shared" si="1"/>
        <v>8993184</v>
      </c>
      <c r="M14" s="100">
        <f t="shared" si="1"/>
        <v>6789719.5</v>
      </c>
      <c r="N14" s="100">
        <f t="shared" si="1"/>
        <v>436520</v>
      </c>
      <c r="O14" s="100">
        <f t="shared" si="1"/>
        <v>0</v>
      </c>
      <c r="P14" s="100">
        <f t="shared" si="1"/>
        <v>1556626</v>
      </c>
      <c r="Q14" s="100">
        <f t="shared" si="1"/>
        <v>7828.9249459999992</v>
      </c>
      <c r="R14" s="100">
        <f t="shared" si="1"/>
        <v>1027135.201562</v>
      </c>
      <c r="S14" s="100">
        <f t="shared" si="1"/>
        <v>1021635.4405</v>
      </c>
      <c r="T14" s="100">
        <f t="shared" si="1"/>
        <v>5499.7610620000005</v>
      </c>
      <c r="U14" s="100">
        <f t="shared" si="1"/>
        <v>1494876</v>
      </c>
      <c r="V14" s="100">
        <f t="shared" si="1"/>
        <v>105608.566854</v>
      </c>
      <c r="W14" s="100">
        <f t="shared" si="1"/>
        <v>1451763.6085859998</v>
      </c>
      <c r="X14" s="100">
        <f t="shared" si="1"/>
        <v>1359709.375887</v>
      </c>
      <c r="Y14" s="100">
        <f t="shared" si="1"/>
        <v>92054.232699</v>
      </c>
      <c r="Z14" s="100">
        <f t="shared" si="1"/>
        <v>1672263.9750000001</v>
      </c>
      <c r="AA14" s="100">
        <f t="shared" si="1"/>
        <v>27794.514926999989</v>
      </c>
      <c r="AB14" s="100">
        <f t="shared" si="1"/>
        <v>1628680.7345100001</v>
      </c>
      <c r="AC14" s="100">
        <f t="shared" si="1"/>
        <v>1600886.2195830001</v>
      </c>
      <c r="AD14" s="100">
        <f t="shared" si="1"/>
        <v>27794.514926999989</v>
      </c>
      <c r="AE14" s="100">
        <f t="shared" si="1"/>
        <v>1311955.5478670001</v>
      </c>
      <c r="AF14" s="100">
        <f t="shared" si="1"/>
        <v>0</v>
      </c>
      <c r="AG14" s="100">
        <f t="shared" si="1"/>
        <v>1311230.5478670001</v>
      </c>
      <c r="AH14" s="100">
        <f t="shared" si="1"/>
        <v>1301809.093569</v>
      </c>
      <c r="AI14" s="100">
        <f t="shared" si="1"/>
        <v>0</v>
      </c>
      <c r="AJ14" s="100">
        <f t="shared" si="1"/>
        <v>1183968.977133</v>
      </c>
      <c r="AK14" s="100">
        <f t="shared" si="1"/>
        <v>0</v>
      </c>
      <c r="AL14" s="100">
        <f t="shared" si="1"/>
        <v>0</v>
      </c>
      <c r="AM14" s="100">
        <f t="shared" si="1"/>
        <v>0</v>
      </c>
      <c r="AN14" s="100">
        <f t="shared" si="1"/>
        <v>0</v>
      </c>
      <c r="AO14" s="139">
        <f t="shared" ref="AO14:AO77" si="2">P14+U14+Z14+AE14</f>
        <v>6035721.5228669997</v>
      </c>
      <c r="AP14" s="141">
        <f t="shared" ref="AP14:AP77" si="3">M14-AO14</f>
        <v>753997.97713300027</v>
      </c>
      <c r="AQ14" s="90"/>
      <c r="AR14" s="14">
        <f>SUM(AS14:AV14)</f>
        <v>61</v>
      </c>
      <c r="AS14" s="5">
        <f>SUM(AS15:AS147)</f>
        <v>32</v>
      </c>
      <c r="AT14" s="5">
        <f>SUM(AT15:AT147)</f>
        <v>23</v>
      </c>
      <c r="AU14" s="5">
        <f>SUM(AU15:AU147)</f>
        <v>6</v>
      </c>
      <c r="AV14" s="5">
        <f>SUM(AV15:AV147)</f>
        <v>0</v>
      </c>
    </row>
    <row r="15" spans="1:49" s="9" customFormat="1" ht="34.5">
      <c r="A15" s="101" t="s">
        <v>117</v>
      </c>
      <c r="B15" s="80" t="s">
        <v>118</v>
      </c>
      <c r="C15" s="77"/>
      <c r="D15" s="77"/>
      <c r="E15" s="77"/>
      <c r="F15" s="77"/>
      <c r="G15" s="77"/>
      <c r="H15" s="102"/>
      <c r="I15" s="100">
        <f t="shared" ref="I15:AN15" si="4">I16+I22+I25+I33+I38+I45+I54+I58+I62+I67+I133+I141+I142</f>
        <v>20395689.5</v>
      </c>
      <c r="J15" s="100">
        <f t="shared" si="4"/>
        <v>16917133.5</v>
      </c>
      <c r="K15" s="100">
        <f t="shared" si="4"/>
        <v>10283498</v>
      </c>
      <c r="L15" s="100">
        <f t="shared" si="4"/>
        <v>8993184</v>
      </c>
      <c r="M15" s="100">
        <f t="shared" si="4"/>
        <v>6709719.5</v>
      </c>
      <c r="N15" s="100">
        <f t="shared" si="4"/>
        <v>436520</v>
      </c>
      <c r="O15" s="100">
        <f t="shared" si="4"/>
        <v>0</v>
      </c>
      <c r="P15" s="100">
        <f t="shared" si="4"/>
        <v>1556626</v>
      </c>
      <c r="Q15" s="100">
        <f t="shared" si="4"/>
        <v>7828.9249459999992</v>
      </c>
      <c r="R15" s="100">
        <f t="shared" si="4"/>
        <v>1027135.201562</v>
      </c>
      <c r="S15" s="100">
        <f t="shared" si="4"/>
        <v>1021635.4405</v>
      </c>
      <c r="T15" s="100">
        <f t="shared" si="4"/>
        <v>5499.7610620000005</v>
      </c>
      <c r="U15" s="100">
        <f t="shared" si="4"/>
        <v>1494876</v>
      </c>
      <c r="V15" s="100">
        <f t="shared" si="4"/>
        <v>105608.566854</v>
      </c>
      <c r="W15" s="100">
        <f t="shared" si="4"/>
        <v>1451763.6085859998</v>
      </c>
      <c r="X15" s="100">
        <f t="shared" si="4"/>
        <v>1359709.375887</v>
      </c>
      <c r="Y15" s="100">
        <f t="shared" si="4"/>
        <v>92054.232699</v>
      </c>
      <c r="Z15" s="100">
        <f t="shared" si="4"/>
        <v>1672263.9750000001</v>
      </c>
      <c r="AA15" s="100">
        <f t="shared" si="4"/>
        <v>27794.514926999989</v>
      </c>
      <c r="AB15" s="100">
        <f t="shared" si="4"/>
        <v>1628680.7345100001</v>
      </c>
      <c r="AC15" s="100">
        <f t="shared" si="4"/>
        <v>1600886.2195830001</v>
      </c>
      <c r="AD15" s="100">
        <f t="shared" si="4"/>
        <v>27794.514926999989</v>
      </c>
      <c r="AE15" s="100">
        <f t="shared" si="4"/>
        <v>1311955.5478670001</v>
      </c>
      <c r="AF15" s="100">
        <f t="shared" si="4"/>
        <v>0</v>
      </c>
      <c r="AG15" s="100">
        <f t="shared" si="4"/>
        <v>1311230.5478670001</v>
      </c>
      <c r="AH15" s="100">
        <f t="shared" si="4"/>
        <v>1301809.093569</v>
      </c>
      <c r="AI15" s="100">
        <f t="shared" si="4"/>
        <v>0</v>
      </c>
      <c r="AJ15" s="100">
        <f t="shared" si="4"/>
        <v>1183968.977133</v>
      </c>
      <c r="AK15" s="100">
        <f t="shared" si="4"/>
        <v>0</v>
      </c>
      <c r="AL15" s="100">
        <f t="shared" si="4"/>
        <v>0</v>
      </c>
      <c r="AM15" s="100">
        <f t="shared" si="4"/>
        <v>0</v>
      </c>
      <c r="AN15" s="100">
        <f t="shared" si="4"/>
        <v>0</v>
      </c>
      <c r="AO15" s="139">
        <f t="shared" si="2"/>
        <v>6035721.5228669997</v>
      </c>
      <c r="AP15" s="141">
        <f t="shared" si="3"/>
        <v>673997.97713300027</v>
      </c>
      <c r="AQ15" s="90"/>
      <c r="AS15" s="7"/>
      <c r="AT15" s="7"/>
      <c r="AU15" s="7"/>
      <c r="AV15" s="7"/>
    </row>
    <row r="16" spans="1:49" s="9" customFormat="1" ht="30">
      <c r="A16" s="101" t="s">
        <v>33</v>
      </c>
      <c r="B16" s="103" t="s">
        <v>119</v>
      </c>
      <c r="C16" s="77"/>
      <c r="D16" s="77"/>
      <c r="E16" s="77"/>
      <c r="F16" s="77"/>
      <c r="G16" s="77"/>
      <c r="H16" s="91"/>
      <c r="I16" s="104">
        <f>I17+I19</f>
        <v>205000</v>
      </c>
      <c r="J16" s="104">
        <f t="shared" ref="J16:AN16" si="5">J17+J19</f>
        <v>205000</v>
      </c>
      <c r="K16" s="104">
        <f t="shared" si="5"/>
        <v>82138</v>
      </c>
      <c r="L16" s="104">
        <f t="shared" si="5"/>
        <v>82138</v>
      </c>
      <c r="M16" s="104">
        <f t="shared" si="5"/>
        <v>121000</v>
      </c>
      <c r="N16" s="104">
        <f t="shared" si="5"/>
        <v>0</v>
      </c>
      <c r="O16" s="104">
        <f t="shared" si="5"/>
        <v>0</v>
      </c>
      <c r="P16" s="104">
        <f t="shared" si="5"/>
        <v>43500</v>
      </c>
      <c r="Q16" s="104">
        <f t="shared" si="5"/>
        <v>0</v>
      </c>
      <c r="R16" s="104">
        <f t="shared" si="5"/>
        <v>43500</v>
      </c>
      <c r="S16" s="104">
        <f t="shared" si="5"/>
        <v>43500</v>
      </c>
      <c r="T16" s="104">
        <f t="shared" si="5"/>
        <v>0</v>
      </c>
      <c r="U16" s="104">
        <f t="shared" si="5"/>
        <v>20000</v>
      </c>
      <c r="V16" s="104">
        <f t="shared" si="5"/>
        <v>0</v>
      </c>
      <c r="W16" s="104">
        <f t="shared" si="5"/>
        <v>20000</v>
      </c>
      <c r="X16" s="104">
        <f t="shared" si="5"/>
        <v>20000</v>
      </c>
      <c r="Y16" s="104">
        <f t="shared" si="5"/>
        <v>0</v>
      </c>
      <c r="Z16" s="104">
        <f t="shared" si="5"/>
        <v>30000</v>
      </c>
      <c r="AA16" s="104">
        <f t="shared" si="5"/>
        <v>0</v>
      </c>
      <c r="AB16" s="104">
        <f t="shared" si="5"/>
        <v>29968.504000000001</v>
      </c>
      <c r="AC16" s="104">
        <f t="shared" si="5"/>
        <v>29968.504000000001</v>
      </c>
      <c r="AD16" s="104">
        <f t="shared" si="5"/>
        <v>0</v>
      </c>
      <c r="AE16" s="104">
        <f t="shared" si="5"/>
        <v>23605</v>
      </c>
      <c r="AF16" s="104">
        <f t="shared" si="5"/>
        <v>0</v>
      </c>
      <c r="AG16" s="104">
        <f t="shared" si="5"/>
        <v>23605</v>
      </c>
      <c r="AH16" s="104">
        <f t="shared" si="5"/>
        <v>23605</v>
      </c>
      <c r="AI16" s="104">
        <f t="shared" si="5"/>
        <v>0</v>
      </c>
      <c r="AJ16" s="104">
        <f t="shared" si="5"/>
        <v>0</v>
      </c>
      <c r="AK16" s="104">
        <f t="shared" si="5"/>
        <v>0</v>
      </c>
      <c r="AL16" s="104">
        <f t="shared" si="5"/>
        <v>0</v>
      </c>
      <c r="AM16" s="104">
        <f t="shared" si="5"/>
        <v>0</v>
      </c>
      <c r="AN16" s="104">
        <f t="shared" si="5"/>
        <v>0</v>
      </c>
      <c r="AO16" s="139">
        <f t="shared" si="2"/>
        <v>117105</v>
      </c>
      <c r="AP16" s="141">
        <f t="shared" si="3"/>
        <v>3895</v>
      </c>
      <c r="AQ16" s="90"/>
      <c r="AS16" s="7"/>
      <c r="AT16" s="7"/>
      <c r="AU16" s="7"/>
      <c r="AV16" s="7"/>
    </row>
    <row r="17" spans="1:49" s="9" customFormat="1" ht="30">
      <c r="A17" s="81" t="s">
        <v>120</v>
      </c>
      <c r="B17" s="82" t="s">
        <v>35</v>
      </c>
      <c r="C17" s="77"/>
      <c r="D17" s="77"/>
      <c r="E17" s="77"/>
      <c r="F17" s="77"/>
      <c r="G17" s="77"/>
      <c r="H17" s="102"/>
      <c r="I17" s="104">
        <f>SUM(I18:I18)</f>
        <v>125000</v>
      </c>
      <c r="J17" s="104">
        <f t="shared" ref="J17:AN17" si="6">SUM(J18:J18)</f>
        <v>125000</v>
      </c>
      <c r="K17" s="104">
        <f t="shared" si="6"/>
        <v>82138</v>
      </c>
      <c r="L17" s="104">
        <f t="shared" si="6"/>
        <v>82138</v>
      </c>
      <c r="M17" s="104">
        <f t="shared" si="6"/>
        <v>41000</v>
      </c>
      <c r="N17" s="104">
        <f t="shared" si="6"/>
        <v>0</v>
      </c>
      <c r="O17" s="104">
        <f t="shared" si="6"/>
        <v>0</v>
      </c>
      <c r="P17" s="104">
        <f t="shared" si="6"/>
        <v>41000</v>
      </c>
      <c r="Q17" s="104">
        <f t="shared" si="6"/>
        <v>0</v>
      </c>
      <c r="R17" s="104">
        <f t="shared" si="6"/>
        <v>41000</v>
      </c>
      <c r="S17" s="104">
        <f t="shared" si="6"/>
        <v>41000</v>
      </c>
      <c r="T17" s="104">
        <f t="shared" si="6"/>
        <v>0</v>
      </c>
      <c r="U17" s="104">
        <f t="shared" si="6"/>
        <v>0</v>
      </c>
      <c r="V17" s="104">
        <f t="shared" si="6"/>
        <v>0</v>
      </c>
      <c r="W17" s="104">
        <f t="shared" si="6"/>
        <v>0</v>
      </c>
      <c r="X17" s="104">
        <f t="shared" si="6"/>
        <v>0</v>
      </c>
      <c r="Y17" s="104">
        <f t="shared" si="6"/>
        <v>0</v>
      </c>
      <c r="Z17" s="104">
        <f t="shared" si="6"/>
        <v>0</v>
      </c>
      <c r="AA17" s="104">
        <f t="shared" si="6"/>
        <v>0</v>
      </c>
      <c r="AB17" s="104">
        <f t="shared" si="6"/>
        <v>0</v>
      </c>
      <c r="AC17" s="104">
        <f t="shared" si="6"/>
        <v>0</v>
      </c>
      <c r="AD17" s="104">
        <f t="shared" si="6"/>
        <v>0</v>
      </c>
      <c r="AE17" s="104">
        <f t="shared" si="6"/>
        <v>0</v>
      </c>
      <c r="AF17" s="104">
        <f t="shared" si="6"/>
        <v>0</v>
      </c>
      <c r="AG17" s="104">
        <f t="shared" si="6"/>
        <v>0</v>
      </c>
      <c r="AH17" s="104">
        <f t="shared" si="6"/>
        <v>0</v>
      </c>
      <c r="AI17" s="104">
        <f t="shared" si="6"/>
        <v>0</v>
      </c>
      <c r="AJ17" s="104">
        <f t="shared" si="6"/>
        <v>0</v>
      </c>
      <c r="AK17" s="104">
        <f t="shared" si="6"/>
        <v>0</v>
      </c>
      <c r="AL17" s="104">
        <f t="shared" si="6"/>
        <v>0</v>
      </c>
      <c r="AM17" s="104">
        <f t="shared" si="6"/>
        <v>0</v>
      </c>
      <c r="AN17" s="104">
        <f t="shared" si="6"/>
        <v>0</v>
      </c>
      <c r="AO17" s="139">
        <f t="shared" si="2"/>
        <v>41000</v>
      </c>
      <c r="AP17" s="141">
        <f t="shared" si="3"/>
        <v>0</v>
      </c>
      <c r="AQ17" s="90"/>
      <c r="AS17" s="7"/>
      <c r="AT17" s="7"/>
      <c r="AU17" s="7"/>
      <c r="AV17" s="7"/>
    </row>
    <row r="18" spans="1:49" s="9" customFormat="1" ht="52.5">
      <c r="A18" s="95">
        <v>1</v>
      </c>
      <c r="B18" s="96" t="s">
        <v>121</v>
      </c>
      <c r="C18" s="77" t="s">
        <v>38</v>
      </c>
      <c r="D18" s="77" t="s">
        <v>223</v>
      </c>
      <c r="E18" s="77" t="s">
        <v>224</v>
      </c>
      <c r="F18" s="77">
        <v>2021</v>
      </c>
      <c r="G18" s="77" t="s">
        <v>247</v>
      </c>
      <c r="H18" s="91" t="s">
        <v>291</v>
      </c>
      <c r="I18" s="105">
        <v>125000</v>
      </c>
      <c r="J18" s="105">
        <v>125000</v>
      </c>
      <c r="K18" s="105">
        <v>82138</v>
      </c>
      <c r="L18" s="105">
        <v>82138</v>
      </c>
      <c r="M18" s="105">
        <v>41000</v>
      </c>
      <c r="N18" s="105"/>
      <c r="O18" s="106"/>
      <c r="P18" s="15">
        <v>41000</v>
      </c>
      <c r="Q18" s="15"/>
      <c r="R18" s="15">
        <f>S18+T18</f>
        <v>41000</v>
      </c>
      <c r="S18" s="15">
        <v>41000</v>
      </c>
      <c r="T18" s="15"/>
      <c r="U18" s="15"/>
      <c r="V18" s="15"/>
      <c r="W18" s="15">
        <f>X18+Y18</f>
        <v>0</v>
      </c>
      <c r="X18" s="15"/>
      <c r="Y18" s="15"/>
      <c r="Z18" s="15"/>
      <c r="AA18" s="15"/>
      <c r="AB18" s="15"/>
      <c r="AC18" s="15"/>
      <c r="AD18" s="15"/>
      <c r="AE18" s="15"/>
      <c r="AF18" s="90"/>
      <c r="AG18" s="90"/>
      <c r="AH18" s="90"/>
      <c r="AI18" s="90"/>
      <c r="AJ18" s="90"/>
      <c r="AK18" s="90"/>
      <c r="AL18" s="90"/>
      <c r="AM18" s="90"/>
      <c r="AN18" s="90"/>
      <c r="AO18" s="139">
        <f t="shared" si="2"/>
        <v>41000</v>
      </c>
      <c r="AP18" s="141">
        <f t="shared" si="3"/>
        <v>0</v>
      </c>
      <c r="AQ18" s="90"/>
      <c r="AS18" s="7">
        <v>1</v>
      </c>
      <c r="AT18" s="7"/>
      <c r="AU18" s="7"/>
      <c r="AV18" s="7"/>
    </row>
    <row r="19" spans="1:49" s="9" customFormat="1" ht="30">
      <c r="A19" s="81" t="s">
        <v>122</v>
      </c>
      <c r="B19" s="82" t="s">
        <v>36</v>
      </c>
      <c r="C19" s="77"/>
      <c r="D19" s="77"/>
      <c r="E19" s="77"/>
      <c r="F19" s="77"/>
      <c r="G19" s="77"/>
      <c r="H19" s="102"/>
      <c r="I19" s="104">
        <f t="shared" ref="I19" si="7">SUM(I21:I21)</f>
        <v>80000</v>
      </c>
      <c r="J19" s="104">
        <f t="shared" ref="J19:AN19" si="8">SUM(J21:J21)</f>
        <v>80000</v>
      </c>
      <c r="K19" s="104">
        <f t="shared" si="8"/>
        <v>0</v>
      </c>
      <c r="L19" s="104">
        <f t="shared" si="8"/>
        <v>0</v>
      </c>
      <c r="M19" s="104">
        <f t="shared" si="8"/>
        <v>80000</v>
      </c>
      <c r="N19" s="104">
        <f t="shared" si="8"/>
        <v>0</v>
      </c>
      <c r="O19" s="104">
        <f t="shared" si="8"/>
        <v>0</v>
      </c>
      <c r="P19" s="104">
        <f t="shared" si="8"/>
        <v>2500</v>
      </c>
      <c r="Q19" s="104">
        <f t="shared" si="8"/>
        <v>0</v>
      </c>
      <c r="R19" s="104">
        <f t="shared" si="8"/>
        <v>2500</v>
      </c>
      <c r="S19" s="104">
        <f t="shared" si="8"/>
        <v>2500</v>
      </c>
      <c r="T19" s="104">
        <f t="shared" si="8"/>
        <v>0</v>
      </c>
      <c r="U19" s="104">
        <f t="shared" si="8"/>
        <v>20000</v>
      </c>
      <c r="V19" s="104">
        <f t="shared" si="8"/>
        <v>0</v>
      </c>
      <c r="W19" s="104">
        <f t="shared" si="8"/>
        <v>20000</v>
      </c>
      <c r="X19" s="104">
        <f t="shared" si="8"/>
        <v>20000</v>
      </c>
      <c r="Y19" s="104">
        <f t="shared" si="8"/>
        <v>0</v>
      </c>
      <c r="Z19" s="104">
        <f t="shared" si="8"/>
        <v>30000</v>
      </c>
      <c r="AA19" s="104">
        <f t="shared" si="8"/>
        <v>0</v>
      </c>
      <c r="AB19" s="104">
        <f t="shared" si="8"/>
        <v>29968.504000000001</v>
      </c>
      <c r="AC19" s="104">
        <f t="shared" si="8"/>
        <v>29968.504000000001</v>
      </c>
      <c r="AD19" s="104">
        <f t="shared" si="8"/>
        <v>0</v>
      </c>
      <c r="AE19" s="104">
        <f t="shared" si="8"/>
        <v>23605</v>
      </c>
      <c r="AF19" s="104">
        <f t="shared" si="8"/>
        <v>0</v>
      </c>
      <c r="AG19" s="104">
        <f t="shared" si="8"/>
        <v>23605</v>
      </c>
      <c r="AH19" s="104">
        <f t="shared" si="8"/>
        <v>23605</v>
      </c>
      <c r="AI19" s="104">
        <f t="shared" si="8"/>
        <v>0</v>
      </c>
      <c r="AJ19" s="104">
        <f t="shared" si="8"/>
        <v>0</v>
      </c>
      <c r="AK19" s="104">
        <f t="shared" si="8"/>
        <v>0</v>
      </c>
      <c r="AL19" s="104">
        <f t="shared" si="8"/>
        <v>0</v>
      </c>
      <c r="AM19" s="104">
        <f t="shared" si="8"/>
        <v>0</v>
      </c>
      <c r="AN19" s="104">
        <f t="shared" si="8"/>
        <v>0</v>
      </c>
      <c r="AO19" s="139">
        <f t="shared" si="2"/>
        <v>76105</v>
      </c>
      <c r="AP19" s="141">
        <f t="shared" si="3"/>
        <v>3895</v>
      </c>
      <c r="AQ19" s="90"/>
      <c r="AS19" s="7"/>
      <c r="AT19" s="7"/>
      <c r="AU19" s="7"/>
      <c r="AV19" s="7"/>
    </row>
    <row r="20" spans="1:49" s="9" customFormat="1" ht="54.75" customHeight="1">
      <c r="A20" s="85" t="s">
        <v>96</v>
      </c>
      <c r="B20" s="86" t="s">
        <v>123</v>
      </c>
      <c r="C20" s="77"/>
      <c r="D20" s="77"/>
      <c r="E20" s="77"/>
      <c r="F20" s="77"/>
      <c r="G20" s="77"/>
      <c r="H20" s="107"/>
      <c r="I20" s="108">
        <f>I21</f>
        <v>80000</v>
      </c>
      <c r="J20" s="108">
        <f t="shared" ref="J20:AN20" si="9">J21</f>
        <v>80000</v>
      </c>
      <c r="K20" s="108">
        <f t="shared" si="9"/>
        <v>0</v>
      </c>
      <c r="L20" s="108">
        <f t="shared" si="9"/>
        <v>0</v>
      </c>
      <c r="M20" s="108">
        <f t="shared" si="9"/>
        <v>80000</v>
      </c>
      <c r="N20" s="108">
        <f t="shared" si="9"/>
        <v>0</v>
      </c>
      <c r="O20" s="108">
        <f t="shared" si="9"/>
        <v>0</v>
      </c>
      <c r="P20" s="108">
        <f t="shared" si="9"/>
        <v>2500</v>
      </c>
      <c r="Q20" s="108">
        <f t="shared" si="9"/>
        <v>0</v>
      </c>
      <c r="R20" s="108">
        <f t="shared" si="9"/>
        <v>2500</v>
      </c>
      <c r="S20" s="108">
        <f t="shared" si="9"/>
        <v>2500</v>
      </c>
      <c r="T20" s="108">
        <f t="shared" si="9"/>
        <v>0</v>
      </c>
      <c r="U20" s="108">
        <f t="shared" si="9"/>
        <v>20000</v>
      </c>
      <c r="V20" s="108">
        <f t="shared" si="9"/>
        <v>0</v>
      </c>
      <c r="W20" s="108">
        <f t="shared" si="9"/>
        <v>20000</v>
      </c>
      <c r="X20" s="108">
        <f t="shared" si="9"/>
        <v>20000</v>
      </c>
      <c r="Y20" s="108">
        <f t="shared" si="9"/>
        <v>0</v>
      </c>
      <c r="Z20" s="108">
        <f t="shared" si="9"/>
        <v>30000</v>
      </c>
      <c r="AA20" s="108">
        <f t="shared" si="9"/>
        <v>0</v>
      </c>
      <c r="AB20" s="108">
        <f t="shared" si="9"/>
        <v>29968.504000000001</v>
      </c>
      <c r="AC20" s="108">
        <f t="shared" si="9"/>
        <v>29968.504000000001</v>
      </c>
      <c r="AD20" s="108">
        <f t="shared" si="9"/>
        <v>0</v>
      </c>
      <c r="AE20" s="108">
        <f t="shared" si="9"/>
        <v>23605</v>
      </c>
      <c r="AF20" s="108">
        <f t="shared" si="9"/>
        <v>0</v>
      </c>
      <c r="AG20" s="108">
        <f t="shared" si="9"/>
        <v>23605</v>
      </c>
      <c r="AH20" s="108">
        <f t="shared" si="9"/>
        <v>23605</v>
      </c>
      <c r="AI20" s="108">
        <f t="shared" si="9"/>
        <v>0</v>
      </c>
      <c r="AJ20" s="108">
        <f t="shared" si="9"/>
        <v>0</v>
      </c>
      <c r="AK20" s="108">
        <f t="shared" si="9"/>
        <v>0</v>
      </c>
      <c r="AL20" s="108">
        <f t="shared" si="9"/>
        <v>0</v>
      </c>
      <c r="AM20" s="108">
        <f t="shared" si="9"/>
        <v>0</v>
      </c>
      <c r="AN20" s="108">
        <f t="shared" si="9"/>
        <v>0</v>
      </c>
      <c r="AO20" s="139">
        <f t="shared" si="2"/>
        <v>76105</v>
      </c>
      <c r="AP20" s="141">
        <f t="shared" si="3"/>
        <v>3895</v>
      </c>
      <c r="AQ20" s="90"/>
      <c r="AS20" s="7"/>
      <c r="AT20" s="7"/>
      <c r="AU20" s="7"/>
      <c r="AV20" s="7"/>
    </row>
    <row r="21" spans="1:49" s="9" customFormat="1" ht="75" customHeight="1">
      <c r="A21" s="95">
        <v>1</v>
      </c>
      <c r="B21" s="96" t="s">
        <v>124</v>
      </c>
      <c r="C21" s="77" t="s">
        <v>38</v>
      </c>
      <c r="D21" s="77" t="s">
        <v>223</v>
      </c>
      <c r="E21" s="77">
        <v>2021</v>
      </c>
      <c r="F21" s="77">
        <v>2024</v>
      </c>
      <c r="G21" s="77" t="s">
        <v>248</v>
      </c>
      <c r="H21" s="91" t="s">
        <v>292</v>
      </c>
      <c r="I21" s="105">
        <v>80000</v>
      </c>
      <c r="J21" s="105">
        <v>80000</v>
      </c>
      <c r="K21" s="105"/>
      <c r="L21" s="105"/>
      <c r="M21" s="105">
        <v>80000</v>
      </c>
      <c r="N21" s="105"/>
      <c r="O21" s="106"/>
      <c r="P21" s="15">
        <v>2500</v>
      </c>
      <c r="Q21" s="15"/>
      <c r="R21" s="15">
        <f>S21+T21</f>
        <v>2500</v>
      </c>
      <c r="S21" s="15">
        <v>2500</v>
      </c>
      <c r="T21" s="15"/>
      <c r="U21" s="15">
        <v>20000</v>
      </c>
      <c r="V21" s="15"/>
      <c r="W21" s="15">
        <f>X21+Y21</f>
        <v>20000</v>
      </c>
      <c r="X21" s="15">
        <v>20000</v>
      </c>
      <c r="Y21" s="15"/>
      <c r="Z21" s="15">
        <v>30000</v>
      </c>
      <c r="AA21" s="15"/>
      <c r="AB21" s="15">
        <f>AC21+AD21</f>
        <v>29968.504000000001</v>
      </c>
      <c r="AC21" s="15">
        <v>29968.504000000001</v>
      </c>
      <c r="AD21" s="15"/>
      <c r="AE21" s="143">
        <v>23605</v>
      </c>
      <c r="AF21" s="90"/>
      <c r="AG21" s="15">
        <f>AH21+AI21</f>
        <v>23605</v>
      </c>
      <c r="AH21" s="143">
        <v>23605</v>
      </c>
      <c r="AI21" s="15"/>
      <c r="AJ21" s="15"/>
      <c r="AK21" s="15"/>
      <c r="AL21" s="15"/>
      <c r="AM21" s="15"/>
      <c r="AN21" s="15"/>
      <c r="AO21" s="139">
        <f t="shared" si="2"/>
        <v>76105</v>
      </c>
      <c r="AP21" s="141">
        <f t="shared" si="3"/>
        <v>3895</v>
      </c>
      <c r="AQ21" s="90" t="s">
        <v>1044</v>
      </c>
      <c r="AS21" s="7"/>
      <c r="AT21" s="7">
        <v>1</v>
      </c>
      <c r="AU21" s="7"/>
      <c r="AV21" s="7"/>
    </row>
    <row r="22" spans="1:49" s="6" customFormat="1" ht="59.25" customHeight="1">
      <c r="A22" s="109" t="s">
        <v>34</v>
      </c>
      <c r="B22" s="103" t="s">
        <v>349</v>
      </c>
      <c r="C22" s="84"/>
      <c r="D22" s="84"/>
      <c r="E22" s="84"/>
      <c r="F22" s="84"/>
      <c r="G22" s="84"/>
      <c r="H22" s="102"/>
      <c r="I22" s="104">
        <f>I23</f>
        <v>0</v>
      </c>
      <c r="J22" s="104">
        <f t="shared" ref="J22:AN23" si="10">J23</f>
        <v>0</v>
      </c>
      <c r="K22" s="104">
        <f t="shared" si="10"/>
        <v>0</v>
      </c>
      <c r="L22" s="104">
        <f t="shared" si="10"/>
        <v>0</v>
      </c>
      <c r="M22" s="104">
        <f t="shared" si="10"/>
        <v>0</v>
      </c>
      <c r="N22" s="104">
        <f t="shared" si="10"/>
        <v>0</v>
      </c>
      <c r="O22" s="104">
        <f t="shared" si="10"/>
        <v>0</v>
      </c>
      <c r="P22" s="104">
        <f t="shared" si="10"/>
        <v>0</v>
      </c>
      <c r="Q22" s="104">
        <f t="shared" si="10"/>
        <v>0</v>
      </c>
      <c r="R22" s="104">
        <f t="shared" si="10"/>
        <v>0</v>
      </c>
      <c r="S22" s="104">
        <f t="shared" si="10"/>
        <v>0</v>
      </c>
      <c r="T22" s="104">
        <f t="shared" si="10"/>
        <v>0</v>
      </c>
      <c r="U22" s="104">
        <f t="shared" si="10"/>
        <v>0</v>
      </c>
      <c r="V22" s="104">
        <f t="shared" si="10"/>
        <v>0</v>
      </c>
      <c r="W22" s="104">
        <f t="shared" si="10"/>
        <v>0</v>
      </c>
      <c r="X22" s="104">
        <f t="shared" si="10"/>
        <v>0</v>
      </c>
      <c r="Y22" s="104">
        <f t="shared" si="10"/>
        <v>0</v>
      </c>
      <c r="Z22" s="104">
        <f t="shared" si="10"/>
        <v>0</v>
      </c>
      <c r="AA22" s="104">
        <f t="shared" si="10"/>
        <v>0</v>
      </c>
      <c r="AB22" s="104">
        <f t="shared" si="10"/>
        <v>0</v>
      </c>
      <c r="AC22" s="104">
        <f t="shared" si="10"/>
        <v>0</v>
      </c>
      <c r="AD22" s="104">
        <f t="shared" si="10"/>
        <v>0</v>
      </c>
      <c r="AE22" s="104">
        <f t="shared" si="10"/>
        <v>0</v>
      </c>
      <c r="AF22" s="104">
        <f t="shared" si="10"/>
        <v>0</v>
      </c>
      <c r="AG22" s="104">
        <f t="shared" si="10"/>
        <v>0</v>
      </c>
      <c r="AH22" s="104">
        <f t="shared" si="10"/>
        <v>0</v>
      </c>
      <c r="AI22" s="104">
        <f t="shared" si="10"/>
        <v>0</v>
      </c>
      <c r="AJ22" s="104">
        <f t="shared" si="10"/>
        <v>0</v>
      </c>
      <c r="AK22" s="104">
        <f t="shared" si="10"/>
        <v>0</v>
      </c>
      <c r="AL22" s="104">
        <f t="shared" si="10"/>
        <v>0</v>
      </c>
      <c r="AM22" s="104">
        <f t="shared" si="10"/>
        <v>0</v>
      </c>
      <c r="AN22" s="104">
        <f t="shared" si="10"/>
        <v>0</v>
      </c>
      <c r="AO22" s="139">
        <f t="shared" si="2"/>
        <v>0</v>
      </c>
      <c r="AP22" s="141">
        <f t="shared" si="3"/>
        <v>0</v>
      </c>
      <c r="AQ22" s="78"/>
      <c r="AS22" s="5"/>
      <c r="AT22" s="5"/>
      <c r="AU22" s="5"/>
      <c r="AV22" s="5"/>
    </row>
    <row r="23" spans="1:49" s="6" customFormat="1" ht="39" customHeight="1">
      <c r="A23" s="81" t="s">
        <v>120</v>
      </c>
      <c r="B23" s="82" t="s">
        <v>99</v>
      </c>
      <c r="C23" s="84"/>
      <c r="D23" s="84"/>
      <c r="E23" s="84"/>
      <c r="F23" s="84"/>
      <c r="G23" s="84"/>
      <c r="H23" s="102"/>
      <c r="I23" s="104">
        <f>I24</f>
        <v>0</v>
      </c>
      <c r="J23" s="104">
        <f t="shared" si="10"/>
        <v>0</v>
      </c>
      <c r="K23" s="104">
        <f t="shared" si="10"/>
        <v>0</v>
      </c>
      <c r="L23" s="104">
        <f t="shared" si="10"/>
        <v>0</v>
      </c>
      <c r="M23" s="104">
        <f t="shared" si="10"/>
        <v>0</v>
      </c>
      <c r="N23" s="104">
        <f t="shared" si="10"/>
        <v>0</v>
      </c>
      <c r="O23" s="104">
        <f t="shared" si="10"/>
        <v>0</v>
      </c>
      <c r="P23" s="104">
        <f t="shared" si="10"/>
        <v>0</v>
      </c>
      <c r="Q23" s="104">
        <f t="shared" si="10"/>
        <v>0</v>
      </c>
      <c r="R23" s="104">
        <f t="shared" si="10"/>
        <v>0</v>
      </c>
      <c r="S23" s="104">
        <f t="shared" si="10"/>
        <v>0</v>
      </c>
      <c r="T23" s="104">
        <f t="shared" si="10"/>
        <v>0</v>
      </c>
      <c r="U23" s="104">
        <f t="shared" si="10"/>
        <v>0</v>
      </c>
      <c r="V23" s="104">
        <f t="shared" si="10"/>
        <v>0</v>
      </c>
      <c r="W23" s="104">
        <f t="shared" si="10"/>
        <v>0</v>
      </c>
      <c r="X23" s="104">
        <f t="shared" si="10"/>
        <v>0</v>
      </c>
      <c r="Y23" s="104">
        <f t="shared" si="10"/>
        <v>0</v>
      </c>
      <c r="Z23" s="104">
        <f t="shared" si="10"/>
        <v>0</v>
      </c>
      <c r="AA23" s="104">
        <f t="shared" si="10"/>
        <v>0</v>
      </c>
      <c r="AB23" s="104">
        <f t="shared" si="10"/>
        <v>0</v>
      </c>
      <c r="AC23" s="104">
        <f t="shared" si="10"/>
        <v>0</v>
      </c>
      <c r="AD23" s="104">
        <f t="shared" si="10"/>
        <v>0</v>
      </c>
      <c r="AE23" s="104">
        <f t="shared" si="10"/>
        <v>0</v>
      </c>
      <c r="AF23" s="104">
        <f t="shared" si="10"/>
        <v>0</v>
      </c>
      <c r="AG23" s="104">
        <f t="shared" si="10"/>
        <v>0</v>
      </c>
      <c r="AH23" s="104">
        <f t="shared" si="10"/>
        <v>0</v>
      </c>
      <c r="AI23" s="104">
        <f t="shared" si="10"/>
        <v>0</v>
      </c>
      <c r="AJ23" s="104">
        <f t="shared" si="10"/>
        <v>0</v>
      </c>
      <c r="AK23" s="104">
        <f t="shared" si="10"/>
        <v>0</v>
      </c>
      <c r="AL23" s="104">
        <f t="shared" si="10"/>
        <v>0</v>
      </c>
      <c r="AM23" s="104">
        <f t="shared" si="10"/>
        <v>0</v>
      </c>
      <c r="AN23" s="104">
        <f t="shared" si="10"/>
        <v>0</v>
      </c>
      <c r="AO23" s="139">
        <f t="shared" si="2"/>
        <v>0</v>
      </c>
      <c r="AP23" s="141">
        <f t="shared" si="3"/>
        <v>0</v>
      </c>
      <c r="AQ23" s="78"/>
      <c r="AS23" s="5"/>
      <c r="AT23" s="5"/>
      <c r="AU23" s="5"/>
      <c r="AV23" s="5"/>
    </row>
    <row r="24" spans="1:49" s="93" customFormat="1" ht="39" customHeight="1">
      <c r="A24" s="110"/>
      <c r="B24" s="111"/>
      <c r="C24" s="21"/>
      <c r="D24" s="21"/>
      <c r="E24" s="21"/>
      <c r="F24" s="21"/>
      <c r="G24" s="21"/>
      <c r="H24" s="112"/>
      <c r="I24" s="113"/>
      <c r="J24" s="113"/>
      <c r="K24" s="113"/>
      <c r="L24" s="113"/>
      <c r="M24" s="113"/>
      <c r="N24" s="113"/>
      <c r="O24" s="114"/>
      <c r="P24" s="22"/>
      <c r="Q24" s="22"/>
      <c r="R24" s="22"/>
      <c r="S24" s="22"/>
      <c r="T24" s="22"/>
      <c r="U24" s="22"/>
      <c r="V24" s="22"/>
      <c r="W24" s="22"/>
      <c r="X24" s="22"/>
      <c r="Y24" s="22"/>
      <c r="Z24" s="22"/>
      <c r="AA24" s="22"/>
      <c r="AB24" s="22"/>
      <c r="AC24" s="22"/>
      <c r="AD24" s="22"/>
      <c r="AE24" s="22"/>
      <c r="AF24" s="92"/>
      <c r="AG24" s="22"/>
      <c r="AH24" s="22"/>
      <c r="AI24" s="22"/>
      <c r="AJ24" s="22"/>
      <c r="AK24" s="22"/>
      <c r="AL24" s="22"/>
      <c r="AM24" s="22"/>
      <c r="AN24" s="22"/>
      <c r="AO24" s="139">
        <f t="shared" si="2"/>
        <v>0</v>
      </c>
      <c r="AP24" s="141">
        <f t="shared" si="3"/>
        <v>0</v>
      </c>
      <c r="AQ24" s="23"/>
      <c r="AS24" s="24"/>
      <c r="AT24" s="24"/>
      <c r="AU24" s="24"/>
      <c r="AV24" s="24"/>
    </row>
    <row r="25" spans="1:49" s="9" customFormat="1" ht="30">
      <c r="A25" s="101" t="s">
        <v>66</v>
      </c>
      <c r="B25" s="103" t="s">
        <v>125</v>
      </c>
      <c r="C25" s="77"/>
      <c r="D25" s="77"/>
      <c r="E25" s="77"/>
      <c r="F25" s="77"/>
      <c r="G25" s="77"/>
      <c r="H25" s="102"/>
      <c r="I25" s="104">
        <f>I26+I28+I31</f>
        <v>91000</v>
      </c>
      <c r="J25" s="104">
        <f t="shared" ref="J25:AN25" si="11">J26+J28+J31</f>
        <v>68000</v>
      </c>
      <c r="K25" s="104">
        <f t="shared" si="11"/>
        <v>4985</v>
      </c>
      <c r="L25" s="104">
        <f t="shared" si="11"/>
        <v>0</v>
      </c>
      <c r="M25" s="104">
        <f t="shared" si="11"/>
        <v>68000</v>
      </c>
      <c r="N25" s="104">
        <f t="shared" si="11"/>
        <v>0</v>
      </c>
      <c r="O25" s="104">
        <f t="shared" si="11"/>
        <v>0</v>
      </c>
      <c r="P25" s="104">
        <f t="shared" si="11"/>
        <v>18500</v>
      </c>
      <c r="Q25" s="104">
        <f t="shared" si="11"/>
        <v>0</v>
      </c>
      <c r="R25" s="104">
        <f t="shared" si="11"/>
        <v>18454.77</v>
      </c>
      <c r="S25" s="104">
        <f t="shared" si="11"/>
        <v>18454.77</v>
      </c>
      <c r="T25" s="104">
        <f t="shared" si="11"/>
        <v>0</v>
      </c>
      <c r="U25" s="104">
        <f t="shared" si="11"/>
        <v>20000</v>
      </c>
      <c r="V25" s="104">
        <f t="shared" si="11"/>
        <v>0</v>
      </c>
      <c r="W25" s="104">
        <f t="shared" si="11"/>
        <v>20000</v>
      </c>
      <c r="X25" s="104">
        <f t="shared" si="11"/>
        <v>20000</v>
      </c>
      <c r="Y25" s="104">
        <f t="shared" si="11"/>
        <v>0</v>
      </c>
      <c r="Z25" s="104">
        <f t="shared" si="11"/>
        <v>20000</v>
      </c>
      <c r="AA25" s="104">
        <f t="shared" si="11"/>
        <v>0</v>
      </c>
      <c r="AB25" s="104">
        <f t="shared" si="11"/>
        <v>20000</v>
      </c>
      <c r="AC25" s="104">
        <f t="shared" si="11"/>
        <v>20000</v>
      </c>
      <c r="AD25" s="104">
        <f t="shared" si="11"/>
        <v>0</v>
      </c>
      <c r="AE25" s="104">
        <f t="shared" si="11"/>
        <v>9500</v>
      </c>
      <c r="AF25" s="104">
        <f t="shared" si="11"/>
        <v>0</v>
      </c>
      <c r="AG25" s="104">
        <f t="shared" si="11"/>
        <v>9500</v>
      </c>
      <c r="AH25" s="104">
        <f t="shared" si="11"/>
        <v>9500</v>
      </c>
      <c r="AI25" s="104">
        <f t="shared" si="11"/>
        <v>0</v>
      </c>
      <c r="AJ25" s="104">
        <f t="shared" si="11"/>
        <v>0</v>
      </c>
      <c r="AK25" s="104">
        <f t="shared" si="11"/>
        <v>0</v>
      </c>
      <c r="AL25" s="104">
        <f t="shared" si="11"/>
        <v>0</v>
      </c>
      <c r="AM25" s="104">
        <f t="shared" si="11"/>
        <v>0</v>
      </c>
      <c r="AN25" s="104">
        <f t="shared" si="11"/>
        <v>0</v>
      </c>
      <c r="AO25" s="139">
        <f t="shared" si="2"/>
        <v>68000</v>
      </c>
      <c r="AP25" s="141">
        <f t="shared" si="3"/>
        <v>0</v>
      </c>
      <c r="AQ25" s="90"/>
      <c r="AS25" s="7"/>
      <c r="AT25" s="7"/>
      <c r="AU25" s="7"/>
      <c r="AV25" s="7"/>
      <c r="AW25" s="9">
        <f>M25/$M$14*100</f>
        <v>1.0015141273509163</v>
      </c>
    </row>
    <row r="26" spans="1:49" s="9" customFormat="1" ht="30">
      <c r="A26" s="81" t="s">
        <v>120</v>
      </c>
      <c r="B26" s="82" t="s">
        <v>35</v>
      </c>
      <c r="C26" s="77"/>
      <c r="D26" s="77"/>
      <c r="E26" s="77"/>
      <c r="F26" s="77"/>
      <c r="G26" s="77"/>
      <c r="H26" s="102"/>
      <c r="I26" s="104">
        <f>I27</f>
        <v>46000</v>
      </c>
      <c r="J26" s="104">
        <f t="shared" ref="J26:AN26" si="12">J27</f>
        <v>23000</v>
      </c>
      <c r="K26" s="104">
        <f t="shared" si="12"/>
        <v>4985</v>
      </c>
      <c r="L26" s="104">
        <f t="shared" si="12"/>
        <v>0</v>
      </c>
      <c r="M26" s="104">
        <f t="shared" si="12"/>
        <v>23000</v>
      </c>
      <c r="N26" s="104">
        <f t="shared" si="12"/>
        <v>0</v>
      </c>
      <c r="O26" s="104">
        <f t="shared" si="12"/>
        <v>0</v>
      </c>
      <c r="P26" s="104">
        <f t="shared" si="12"/>
        <v>18000</v>
      </c>
      <c r="Q26" s="104">
        <f t="shared" si="12"/>
        <v>0</v>
      </c>
      <c r="R26" s="104">
        <f t="shared" si="12"/>
        <v>18000</v>
      </c>
      <c r="S26" s="104">
        <f t="shared" si="12"/>
        <v>18000</v>
      </c>
      <c r="T26" s="104">
        <f t="shared" si="12"/>
        <v>0</v>
      </c>
      <c r="U26" s="104">
        <f t="shared" si="12"/>
        <v>5000</v>
      </c>
      <c r="V26" s="104">
        <f t="shared" si="12"/>
        <v>0</v>
      </c>
      <c r="W26" s="104">
        <f t="shared" si="12"/>
        <v>5000</v>
      </c>
      <c r="X26" s="104">
        <f t="shared" si="12"/>
        <v>5000</v>
      </c>
      <c r="Y26" s="104">
        <f t="shared" si="12"/>
        <v>0</v>
      </c>
      <c r="Z26" s="104">
        <f t="shared" si="12"/>
        <v>0</v>
      </c>
      <c r="AA26" s="104">
        <f t="shared" si="12"/>
        <v>0</v>
      </c>
      <c r="AB26" s="104">
        <f t="shared" si="12"/>
        <v>0</v>
      </c>
      <c r="AC26" s="104">
        <f t="shared" si="12"/>
        <v>0</v>
      </c>
      <c r="AD26" s="104">
        <f t="shared" si="12"/>
        <v>0</v>
      </c>
      <c r="AE26" s="104">
        <f t="shared" si="12"/>
        <v>0</v>
      </c>
      <c r="AF26" s="104">
        <f t="shared" si="12"/>
        <v>0</v>
      </c>
      <c r="AG26" s="104">
        <f t="shared" si="12"/>
        <v>0</v>
      </c>
      <c r="AH26" s="104">
        <f t="shared" si="12"/>
        <v>0</v>
      </c>
      <c r="AI26" s="104">
        <f t="shared" si="12"/>
        <v>0</v>
      </c>
      <c r="AJ26" s="104">
        <f t="shared" si="12"/>
        <v>0</v>
      </c>
      <c r="AK26" s="104">
        <f t="shared" si="12"/>
        <v>0</v>
      </c>
      <c r="AL26" s="104">
        <f t="shared" si="12"/>
        <v>0</v>
      </c>
      <c r="AM26" s="104">
        <f t="shared" si="12"/>
        <v>0</v>
      </c>
      <c r="AN26" s="104">
        <f t="shared" si="12"/>
        <v>0</v>
      </c>
      <c r="AO26" s="139">
        <f t="shared" si="2"/>
        <v>23000</v>
      </c>
      <c r="AP26" s="141">
        <f t="shared" si="3"/>
        <v>0</v>
      </c>
      <c r="AQ26" s="90"/>
      <c r="AS26" s="7"/>
      <c r="AT26" s="7"/>
      <c r="AU26" s="7"/>
      <c r="AV26" s="7"/>
    </row>
    <row r="27" spans="1:49" s="9" customFormat="1" ht="78.75">
      <c r="A27" s="115">
        <v>1</v>
      </c>
      <c r="B27" s="88" t="s">
        <v>126</v>
      </c>
      <c r="C27" s="77" t="s">
        <v>38</v>
      </c>
      <c r="D27" s="77" t="s">
        <v>225</v>
      </c>
      <c r="E27" s="77">
        <v>2018</v>
      </c>
      <c r="F27" s="77">
        <v>2023</v>
      </c>
      <c r="G27" s="77" t="s">
        <v>249</v>
      </c>
      <c r="H27" s="91" t="s">
        <v>293</v>
      </c>
      <c r="I27" s="105">
        <v>46000</v>
      </c>
      <c r="J27" s="105">
        <v>23000</v>
      </c>
      <c r="K27" s="105">
        <v>4985</v>
      </c>
      <c r="L27" s="105"/>
      <c r="M27" s="105">
        <v>23000</v>
      </c>
      <c r="N27" s="105"/>
      <c r="O27" s="106"/>
      <c r="P27" s="15">
        <v>18000</v>
      </c>
      <c r="Q27" s="15"/>
      <c r="R27" s="15">
        <f>S27+T27</f>
        <v>18000</v>
      </c>
      <c r="S27" s="15">
        <v>18000</v>
      </c>
      <c r="T27" s="15"/>
      <c r="U27" s="15">
        <v>5000</v>
      </c>
      <c r="V27" s="15"/>
      <c r="W27" s="15">
        <f>X27+Y27</f>
        <v>5000</v>
      </c>
      <c r="X27" s="15">
        <v>5000</v>
      </c>
      <c r="Y27" s="15"/>
      <c r="Z27" s="15"/>
      <c r="AA27" s="15"/>
      <c r="AB27" s="15"/>
      <c r="AC27" s="15"/>
      <c r="AD27" s="15"/>
      <c r="AE27" s="15"/>
      <c r="AF27" s="90"/>
      <c r="AG27" s="90"/>
      <c r="AH27" s="90"/>
      <c r="AI27" s="90"/>
      <c r="AJ27" s="90"/>
      <c r="AK27" s="90"/>
      <c r="AL27" s="90"/>
      <c r="AM27" s="90"/>
      <c r="AN27" s="90"/>
      <c r="AO27" s="139">
        <f t="shared" si="2"/>
        <v>23000</v>
      </c>
      <c r="AP27" s="141">
        <f t="shared" si="3"/>
        <v>0</v>
      </c>
      <c r="AQ27" s="90"/>
      <c r="AS27" s="7">
        <v>1</v>
      </c>
      <c r="AT27" s="7"/>
      <c r="AU27" s="7"/>
      <c r="AV27" s="7"/>
    </row>
    <row r="28" spans="1:49" s="9" customFormat="1" ht="30">
      <c r="A28" s="81" t="s">
        <v>122</v>
      </c>
      <c r="B28" s="82" t="s">
        <v>36</v>
      </c>
      <c r="C28" s="77"/>
      <c r="D28" s="77"/>
      <c r="E28" s="77"/>
      <c r="F28" s="77"/>
      <c r="G28" s="77"/>
      <c r="H28" s="102"/>
      <c r="I28" s="104">
        <f>I29</f>
        <v>45000</v>
      </c>
      <c r="J28" s="104">
        <f t="shared" ref="J28:AN29" si="13">J29</f>
        <v>45000</v>
      </c>
      <c r="K28" s="104">
        <f t="shared" si="13"/>
        <v>0</v>
      </c>
      <c r="L28" s="104">
        <f t="shared" si="13"/>
        <v>0</v>
      </c>
      <c r="M28" s="104">
        <f t="shared" si="13"/>
        <v>45000</v>
      </c>
      <c r="N28" s="104">
        <f t="shared" si="13"/>
        <v>0</v>
      </c>
      <c r="O28" s="104">
        <f t="shared" si="13"/>
        <v>0</v>
      </c>
      <c r="P28" s="104">
        <f t="shared" si="13"/>
        <v>500</v>
      </c>
      <c r="Q28" s="104">
        <f t="shared" si="13"/>
        <v>0</v>
      </c>
      <c r="R28" s="104">
        <f t="shared" si="13"/>
        <v>454.77</v>
      </c>
      <c r="S28" s="104">
        <f t="shared" si="13"/>
        <v>454.77</v>
      </c>
      <c r="T28" s="104">
        <f t="shared" si="13"/>
        <v>0</v>
      </c>
      <c r="U28" s="104">
        <f t="shared" si="13"/>
        <v>15000</v>
      </c>
      <c r="V28" s="104">
        <f t="shared" si="13"/>
        <v>0</v>
      </c>
      <c r="W28" s="104">
        <f t="shared" si="13"/>
        <v>15000</v>
      </c>
      <c r="X28" s="104">
        <f t="shared" si="13"/>
        <v>15000</v>
      </c>
      <c r="Y28" s="104">
        <f t="shared" si="13"/>
        <v>0</v>
      </c>
      <c r="Z28" s="104">
        <f t="shared" si="13"/>
        <v>20000</v>
      </c>
      <c r="AA28" s="104">
        <f t="shared" si="13"/>
        <v>0</v>
      </c>
      <c r="AB28" s="104">
        <f t="shared" si="13"/>
        <v>20000</v>
      </c>
      <c r="AC28" s="104">
        <f t="shared" si="13"/>
        <v>20000</v>
      </c>
      <c r="AD28" s="104">
        <f t="shared" si="13"/>
        <v>0</v>
      </c>
      <c r="AE28" s="104">
        <f t="shared" si="13"/>
        <v>9500</v>
      </c>
      <c r="AF28" s="104">
        <f t="shared" si="13"/>
        <v>0</v>
      </c>
      <c r="AG28" s="104">
        <f t="shared" si="13"/>
        <v>9500</v>
      </c>
      <c r="AH28" s="104">
        <f t="shared" si="13"/>
        <v>9500</v>
      </c>
      <c r="AI28" s="104">
        <f t="shared" si="13"/>
        <v>0</v>
      </c>
      <c r="AJ28" s="104">
        <f t="shared" si="13"/>
        <v>0</v>
      </c>
      <c r="AK28" s="104">
        <f t="shared" si="13"/>
        <v>0</v>
      </c>
      <c r="AL28" s="104">
        <f t="shared" si="13"/>
        <v>0</v>
      </c>
      <c r="AM28" s="104">
        <f t="shared" si="13"/>
        <v>0</v>
      </c>
      <c r="AN28" s="104">
        <f t="shared" si="13"/>
        <v>0</v>
      </c>
      <c r="AO28" s="139">
        <f t="shared" si="2"/>
        <v>45000</v>
      </c>
      <c r="AP28" s="141">
        <f t="shared" si="3"/>
        <v>0</v>
      </c>
      <c r="AQ28" s="90"/>
      <c r="AS28" s="7"/>
      <c r="AT28" s="7"/>
      <c r="AU28" s="7"/>
      <c r="AV28" s="7"/>
    </row>
    <row r="29" spans="1:49" s="9" customFormat="1" ht="30">
      <c r="A29" s="85" t="s">
        <v>96</v>
      </c>
      <c r="B29" s="86" t="s">
        <v>123</v>
      </c>
      <c r="C29" s="77"/>
      <c r="D29" s="77"/>
      <c r="E29" s="77"/>
      <c r="F29" s="77"/>
      <c r="G29" s="77"/>
      <c r="H29" s="107"/>
      <c r="I29" s="108">
        <f>I30</f>
        <v>45000</v>
      </c>
      <c r="J29" s="108">
        <f t="shared" si="13"/>
        <v>45000</v>
      </c>
      <c r="K29" s="108">
        <f t="shared" si="13"/>
        <v>0</v>
      </c>
      <c r="L29" s="108">
        <f t="shared" si="13"/>
        <v>0</v>
      </c>
      <c r="M29" s="108">
        <f t="shared" si="13"/>
        <v>45000</v>
      </c>
      <c r="N29" s="108">
        <f t="shared" si="13"/>
        <v>0</v>
      </c>
      <c r="O29" s="108">
        <f t="shared" si="13"/>
        <v>0</v>
      </c>
      <c r="P29" s="108">
        <f t="shared" si="13"/>
        <v>500</v>
      </c>
      <c r="Q29" s="108">
        <f t="shared" si="13"/>
        <v>0</v>
      </c>
      <c r="R29" s="108">
        <f t="shared" si="13"/>
        <v>454.77</v>
      </c>
      <c r="S29" s="108">
        <f t="shared" si="13"/>
        <v>454.77</v>
      </c>
      <c r="T29" s="108">
        <f t="shared" si="13"/>
        <v>0</v>
      </c>
      <c r="U29" s="108">
        <f t="shared" si="13"/>
        <v>15000</v>
      </c>
      <c r="V29" s="108">
        <f t="shared" si="13"/>
        <v>0</v>
      </c>
      <c r="W29" s="108">
        <f t="shared" si="13"/>
        <v>15000</v>
      </c>
      <c r="X29" s="108">
        <f t="shared" si="13"/>
        <v>15000</v>
      </c>
      <c r="Y29" s="108">
        <f t="shared" si="13"/>
        <v>0</v>
      </c>
      <c r="Z29" s="108">
        <f t="shared" si="13"/>
        <v>20000</v>
      </c>
      <c r="AA29" s="108">
        <f t="shared" si="13"/>
        <v>0</v>
      </c>
      <c r="AB29" s="108">
        <f t="shared" si="13"/>
        <v>20000</v>
      </c>
      <c r="AC29" s="108">
        <f t="shared" si="13"/>
        <v>20000</v>
      </c>
      <c r="AD29" s="108">
        <f t="shared" si="13"/>
        <v>0</v>
      </c>
      <c r="AE29" s="108">
        <f t="shared" si="13"/>
        <v>9500</v>
      </c>
      <c r="AF29" s="108">
        <f t="shared" si="13"/>
        <v>0</v>
      </c>
      <c r="AG29" s="108">
        <f t="shared" si="13"/>
        <v>9500</v>
      </c>
      <c r="AH29" s="108">
        <f t="shared" si="13"/>
        <v>9500</v>
      </c>
      <c r="AI29" s="108">
        <f t="shared" si="13"/>
        <v>0</v>
      </c>
      <c r="AJ29" s="108">
        <f t="shared" si="13"/>
        <v>0</v>
      </c>
      <c r="AK29" s="108">
        <f t="shared" si="13"/>
        <v>0</v>
      </c>
      <c r="AL29" s="108">
        <f t="shared" si="13"/>
        <v>0</v>
      </c>
      <c r="AM29" s="108">
        <f t="shared" si="13"/>
        <v>0</v>
      </c>
      <c r="AN29" s="108">
        <f t="shared" si="13"/>
        <v>0</v>
      </c>
      <c r="AO29" s="139">
        <f t="shared" si="2"/>
        <v>45000</v>
      </c>
      <c r="AP29" s="141">
        <f t="shared" si="3"/>
        <v>0</v>
      </c>
      <c r="AQ29" s="90"/>
      <c r="AS29" s="7"/>
      <c r="AT29" s="7"/>
      <c r="AU29" s="7"/>
      <c r="AV29" s="7"/>
    </row>
    <row r="30" spans="1:49" s="9" customFormat="1" ht="46.15">
      <c r="A30" s="115">
        <v>1</v>
      </c>
      <c r="B30" s="88" t="s">
        <v>127</v>
      </c>
      <c r="C30" s="77" t="s">
        <v>38</v>
      </c>
      <c r="D30" s="77" t="s">
        <v>226</v>
      </c>
      <c r="E30" s="77" t="s">
        <v>227</v>
      </c>
      <c r="F30" s="77">
        <v>2024</v>
      </c>
      <c r="G30" s="77" t="s">
        <v>250</v>
      </c>
      <c r="H30" s="91" t="s">
        <v>294</v>
      </c>
      <c r="I30" s="105">
        <v>45000</v>
      </c>
      <c r="J30" s="105">
        <v>45000</v>
      </c>
      <c r="K30" s="105"/>
      <c r="L30" s="105"/>
      <c r="M30" s="105">
        <v>45000</v>
      </c>
      <c r="N30" s="105"/>
      <c r="O30" s="105"/>
      <c r="P30" s="15">
        <v>500</v>
      </c>
      <c r="Q30" s="15"/>
      <c r="R30" s="15">
        <f>S30+T30</f>
        <v>454.77</v>
      </c>
      <c r="S30" s="15">
        <v>454.77</v>
      </c>
      <c r="T30" s="15"/>
      <c r="U30" s="15">
        <v>15000</v>
      </c>
      <c r="V30" s="15"/>
      <c r="W30" s="15">
        <f>X30+Y30</f>
        <v>15000</v>
      </c>
      <c r="X30" s="15">
        <v>15000</v>
      </c>
      <c r="Y30" s="15"/>
      <c r="Z30" s="15">
        <v>20000</v>
      </c>
      <c r="AA30" s="15"/>
      <c r="AB30" s="15">
        <f>AC30+AD30</f>
        <v>20000</v>
      </c>
      <c r="AC30" s="15">
        <v>20000</v>
      </c>
      <c r="AD30" s="15"/>
      <c r="AE30" s="15">
        <v>9500</v>
      </c>
      <c r="AF30" s="90"/>
      <c r="AG30" s="15">
        <f>AH30+AI30</f>
        <v>9500</v>
      </c>
      <c r="AH30" s="15">
        <v>9500</v>
      </c>
      <c r="AI30" s="15"/>
      <c r="AJ30" s="15"/>
      <c r="AK30" s="15"/>
      <c r="AL30" s="15"/>
      <c r="AM30" s="15"/>
      <c r="AN30" s="15"/>
      <c r="AO30" s="139">
        <f t="shared" si="2"/>
        <v>45000</v>
      </c>
      <c r="AP30" s="141">
        <f t="shared" si="3"/>
        <v>0</v>
      </c>
      <c r="AQ30" s="90"/>
      <c r="AS30" s="7"/>
      <c r="AT30" s="7">
        <v>1</v>
      </c>
      <c r="AU30" s="7"/>
      <c r="AV30" s="7"/>
    </row>
    <row r="31" spans="1:49" s="6" customFormat="1" ht="30">
      <c r="A31" s="81" t="s">
        <v>350</v>
      </c>
      <c r="B31" s="82" t="s">
        <v>99</v>
      </c>
      <c r="C31" s="84"/>
      <c r="D31" s="84"/>
      <c r="E31" s="84"/>
      <c r="F31" s="84"/>
      <c r="G31" s="84"/>
      <c r="H31" s="102"/>
      <c r="I31" s="104">
        <f t="shared" ref="I31:AN31" si="14">SUM(I32:I32)</f>
        <v>0</v>
      </c>
      <c r="J31" s="104">
        <f t="shared" si="14"/>
        <v>0</v>
      </c>
      <c r="K31" s="104">
        <f t="shared" si="14"/>
        <v>0</v>
      </c>
      <c r="L31" s="104">
        <f t="shared" si="14"/>
        <v>0</v>
      </c>
      <c r="M31" s="104">
        <f t="shared" si="14"/>
        <v>0</v>
      </c>
      <c r="N31" s="104">
        <f t="shared" si="14"/>
        <v>0</v>
      </c>
      <c r="O31" s="104">
        <f t="shared" si="14"/>
        <v>0</v>
      </c>
      <c r="P31" s="104">
        <f t="shared" si="14"/>
        <v>0</v>
      </c>
      <c r="Q31" s="104">
        <f t="shared" si="14"/>
        <v>0</v>
      </c>
      <c r="R31" s="104">
        <f t="shared" si="14"/>
        <v>0</v>
      </c>
      <c r="S31" s="104">
        <f t="shared" si="14"/>
        <v>0</v>
      </c>
      <c r="T31" s="104">
        <f t="shared" si="14"/>
        <v>0</v>
      </c>
      <c r="U31" s="104">
        <f t="shared" si="14"/>
        <v>0</v>
      </c>
      <c r="V31" s="104">
        <f t="shared" si="14"/>
        <v>0</v>
      </c>
      <c r="W31" s="104">
        <f t="shared" si="14"/>
        <v>0</v>
      </c>
      <c r="X31" s="104">
        <f t="shared" si="14"/>
        <v>0</v>
      </c>
      <c r="Y31" s="104">
        <f t="shared" si="14"/>
        <v>0</v>
      </c>
      <c r="Z31" s="104">
        <f t="shared" si="14"/>
        <v>0</v>
      </c>
      <c r="AA31" s="104">
        <f t="shared" si="14"/>
        <v>0</v>
      </c>
      <c r="AB31" s="104">
        <f t="shared" si="14"/>
        <v>0</v>
      </c>
      <c r="AC31" s="104">
        <f t="shared" si="14"/>
        <v>0</v>
      </c>
      <c r="AD31" s="104">
        <f t="shared" si="14"/>
        <v>0</v>
      </c>
      <c r="AE31" s="104">
        <f t="shared" si="14"/>
        <v>0</v>
      </c>
      <c r="AF31" s="104">
        <f t="shared" si="14"/>
        <v>0</v>
      </c>
      <c r="AG31" s="104">
        <f t="shared" si="14"/>
        <v>0</v>
      </c>
      <c r="AH31" s="104">
        <f t="shared" si="14"/>
        <v>0</v>
      </c>
      <c r="AI31" s="104">
        <f t="shared" si="14"/>
        <v>0</v>
      </c>
      <c r="AJ31" s="104">
        <f t="shared" si="14"/>
        <v>0</v>
      </c>
      <c r="AK31" s="104">
        <f t="shared" si="14"/>
        <v>0</v>
      </c>
      <c r="AL31" s="104">
        <f t="shared" si="14"/>
        <v>0</v>
      </c>
      <c r="AM31" s="104">
        <f t="shared" si="14"/>
        <v>0</v>
      </c>
      <c r="AN31" s="104">
        <f t="shared" si="14"/>
        <v>0</v>
      </c>
      <c r="AO31" s="139">
        <f t="shared" si="2"/>
        <v>0</v>
      </c>
      <c r="AP31" s="141">
        <f t="shared" si="3"/>
        <v>0</v>
      </c>
      <c r="AQ31" s="78"/>
      <c r="AS31" s="5"/>
      <c r="AT31" s="5"/>
      <c r="AU31" s="5"/>
      <c r="AV31" s="5"/>
    </row>
    <row r="32" spans="1:49" s="93" customFormat="1" ht="17.649999999999999">
      <c r="A32" s="116"/>
      <c r="B32" s="117"/>
      <c r="C32" s="21"/>
      <c r="D32" s="21"/>
      <c r="E32" s="21"/>
      <c r="F32" s="21"/>
      <c r="G32" s="21"/>
      <c r="H32" s="112"/>
      <c r="I32" s="113"/>
      <c r="J32" s="113"/>
      <c r="K32" s="113"/>
      <c r="L32" s="113"/>
      <c r="M32" s="113"/>
      <c r="N32" s="113"/>
      <c r="O32" s="113"/>
      <c r="P32" s="22"/>
      <c r="Q32" s="22"/>
      <c r="R32" s="22"/>
      <c r="S32" s="22"/>
      <c r="T32" s="22"/>
      <c r="U32" s="22"/>
      <c r="V32" s="22"/>
      <c r="W32" s="22"/>
      <c r="X32" s="22"/>
      <c r="Y32" s="22"/>
      <c r="Z32" s="22"/>
      <c r="AA32" s="22"/>
      <c r="AB32" s="22"/>
      <c r="AC32" s="22"/>
      <c r="AD32" s="22"/>
      <c r="AE32" s="22"/>
      <c r="AF32" s="92"/>
      <c r="AG32" s="92"/>
      <c r="AH32" s="92"/>
      <c r="AI32" s="92"/>
      <c r="AJ32" s="22"/>
      <c r="AK32" s="22"/>
      <c r="AL32" s="22"/>
      <c r="AM32" s="22"/>
      <c r="AN32" s="22"/>
      <c r="AO32" s="139">
        <f t="shared" si="2"/>
        <v>0</v>
      </c>
      <c r="AP32" s="141">
        <f t="shared" si="3"/>
        <v>0</v>
      </c>
      <c r="AQ32" s="23"/>
      <c r="AS32" s="24"/>
      <c r="AT32" s="24"/>
      <c r="AU32" s="24"/>
      <c r="AV32" s="24"/>
    </row>
    <row r="33" spans="1:48" s="9" customFormat="1" ht="30">
      <c r="A33" s="101" t="s">
        <v>131</v>
      </c>
      <c r="B33" s="103" t="s">
        <v>128</v>
      </c>
      <c r="C33" s="77"/>
      <c r="D33" s="77"/>
      <c r="E33" s="77"/>
      <c r="F33" s="77"/>
      <c r="G33" s="77"/>
      <c r="H33" s="102"/>
      <c r="I33" s="104">
        <f>I34</f>
        <v>210000</v>
      </c>
      <c r="J33" s="104">
        <f t="shared" ref="J33:AN34" si="15">J34</f>
        <v>210000</v>
      </c>
      <c r="K33" s="104">
        <f t="shared" si="15"/>
        <v>0</v>
      </c>
      <c r="L33" s="104">
        <f t="shared" si="15"/>
        <v>0</v>
      </c>
      <c r="M33" s="104">
        <f t="shared" si="15"/>
        <v>203401</v>
      </c>
      <c r="N33" s="104">
        <f t="shared" si="15"/>
        <v>0</v>
      </c>
      <c r="O33" s="104">
        <f t="shared" si="15"/>
        <v>0</v>
      </c>
      <c r="P33" s="104">
        <f t="shared" si="15"/>
        <v>1300</v>
      </c>
      <c r="Q33" s="104">
        <f t="shared" si="15"/>
        <v>0</v>
      </c>
      <c r="R33" s="104">
        <f t="shared" si="15"/>
        <v>1300</v>
      </c>
      <c r="S33" s="104">
        <f t="shared" si="15"/>
        <v>1300</v>
      </c>
      <c r="T33" s="104">
        <f t="shared" si="15"/>
        <v>0</v>
      </c>
      <c r="U33" s="104">
        <f t="shared" si="15"/>
        <v>50000</v>
      </c>
      <c r="V33" s="104">
        <f t="shared" si="15"/>
        <v>0</v>
      </c>
      <c r="W33" s="104">
        <f t="shared" si="15"/>
        <v>41154.716591000004</v>
      </c>
      <c r="X33" s="104">
        <f t="shared" si="15"/>
        <v>41154.716591000004</v>
      </c>
      <c r="Y33" s="104">
        <f t="shared" si="15"/>
        <v>0</v>
      </c>
      <c r="Z33" s="104">
        <f t="shared" si="15"/>
        <v>71700</v>
      </c>
      <c r="AA33" s="104">
        <f t="shared" si="15"/>
        <v>0</v>
      </c>
      <c r="AB33" s="104">
        <f t="shared" si="15"/>
        <v>71699.998999999996</v>
      </c>
      <c r="AC33" s="104">
        <f t="shared" si="15"/>
        <v>71699.998999999996</v>
      </c>
      <c r="AD33" s="104">
        <f t="shared" si="15"/>
        <v>0</v>
      </c>
      <c r="AE33" s="104">
        <f t="shared" si="15"/>
        <v>80401</v>
      </c>
      <c r="AF33" s="104">
        <f t="shared" si="15"/>
        <v>0</v>
      </c>
      <c r="AG33" s="104">
        <f t="shared" si="15"/>
        <v>80401</v>
      </c>
      <c r="AH33" s="104">
        <f t="shared" si="15"/>
        <v>80401</v>
      </c>
      <c r="AI33" s="104">
        <f t="shared" si="15"/>
        <v>0</v>
      </c>
      <c r="AJ33" s="104">
        <f t="shared" si="15"/>
        <v>0</v>
      </c>
      <c r="AK33" s="104">
        <f t="shared" si="15"/>
        <v>0</v>
      </c>
      <c r="AL33" s="104">
        <f t="shared" si="15"/>
        <v>0</v>
      </c>
      <c r="AM33" s="104">
        <f t="shared" si="15"/>
        <v>0</v>
      </c>
      <c r="AN33" s="104">
        <f t="shared" si="15"/>
        <v>0</v>
      </c>
      <c r="AO33" s="139">
        <f t="shared" si="2"/>
        <v>203401</v>
      </c>
      <c r="AP33" s="141">
        <f t="shared" si="3"/>
        <v>0</v>
      </c>
      <c r="AQ33" s="90"/>
      <c r="AS33" s="7"/>
      <c r="AT33" s="7"/>
      <c r="AU33" s="7"/>
      <c r="AV33" s="7"/>
    </row>
    <row r="34" spans="1:48" s="9" customFormat="1" ht="30">
      <c r="A34" s="81" t="s">
        <v>120</v>
      </c>
      <c r="B34" s="82" t="s">
        <v>36</v>
      </c>
      <c r="C34" s="77"/>
      <c r="D34" s="77"/>
      <c r="E34" s="77"/>
      <c r="F34" s="77"/>
      <c r="G34" s="77"/>
      <c r="H34" s="102"/>
      <c r="I34" s="104">
        <f>I35</f>
        <v>210000</v>
      </c>
      <c r="J34" s="104">
        <f t="shared" si="15"/>
        <v>210000</v>
      </c>
      <c r="K34" s="104">
        <f t="shared" si="15"/>
        <v>0</v>
      </c>
      <c r="L34" s="104">
        <f t="shared" si="15"/>
        <v>0</v>
      </c>
      <c r="M34" s="104">
        <f t="shared" si="15"/>
        <v>203401</v>
      </c>
      <c r="N34" s="104">
        <f t="shared" si="15"/>
        <v>0</v>
      </c>
      <c r="O34" s="104">
        <f t="shared" si="15"/>
        <v>0</v>
      </c>
      <c r="P34" s="104">
        <f t="shared" si="15"/>
        <v>1300</v>
      </c>
      <c r="Q34" s="104">
        <f t="shared" si="15"/>
        <v>0</v>
      </c>
      <c r="R34" s="104">
        <f t="shared" si="15"/>
        <v>1300</v>
      </c>
      <c r="S34" s="104">
        <f t="shared" si="15"/>
        <v>1300</v>
      </c>
      <c r="T34" s="104">
        <f t="shared" si="15"/>
        <v>0</v>
      </c>
      <c r="U34" s="104">
        <f t="shared" si="15"/>
        <v>50000</v>
      </c>
      <c r="V34" s="104">
        <f t="shared" si="15"/>
        <v>0</v>
      </c>
      <c r="W34" s="104">
        <f t="shared" si="15"/>
        <v>41154.716591000004</v>
      </c>
      <c r="X34" s="104">
        <f t="shared" si="15"/>
        <v>41154.716591000004</v>
      </c>
      <c r="Y34" s="104">
        <f t="shared" si="15"/>
        <v>0</v>
      </c>
      <c r="Z34" s="104">
        <f t="shared" si="15"/>
        <v>71700</v>
      </c>
      <c r="AA34" s="104">
        <f t="shared" si="15"/>
        <v>0</v>
      </c>
      <c r="AB34" s="104">
        <f t="shared" si="15"/>
        <v>71699.998999999996</v>
      </c>
      <c r="AC34" s="104">
        <f t="shared" si="15"/>
        <v>71699.998999999996</v>
      </c>
      <c r="AD34" s="104">
        <f t="shared" si="15"/>
        <v>0</v>
      </c>
      <c r="AE34" s="104">
        <f t="shared" si="15"/>
        <v>80401</v>
      </c>
      <c r="AF34" s="104">
        <f t="shared" si="15"/>
        <v>0</v>
      </c>
      <c r="AG34" s="104">
        <f t="shared" si="15"/>
        <v>80401</v>
      </c>
      <c r="AH34" s="104">
        <f t="shared" si="15"/>
        <v>80401</v>
      </c>
      <c r="AI34" s="104">
        <f t="shared" si="15"/>
        <v>0</v>
      </c>
      <c r="AJ34" s="104">
        <f t="shared" si="15"/>
        <v>0</v>
      </c>
      <c r="AK34" s="104">
        <f t="shared" si="15"/>
        <v>0</v>
      </c>
      <c r="AL34" s="104">
        <f t="shared" si="15"/>
        <v>0</v>
      </c>
      <c r="AM34" s="104">
        <f t="shared" si="15"/>
        <v>0</v>
      </c>
      <c r="AN34" s="104">
        <f t="shared" si="15"/>
        <v>0</v>
      </c>
      <c r="AO34" s="139">
        <f t="shared" si="2"/>
        <v>203401</v>
      </c>
      <c r="AP34" s="141">
        <f t="shared" si="3"/>
        <v>0</v>
      </c>
      <c r="AQ34" s="90"/>
      <c r="AS34" s="7"/>
      <c r="AT34" s="7"/>
      <c r="AU34" s="7"/>
      <c r="AV34" s="7"/>
    </row>
    <row r="35" spans="1:48" s="9" customFormat="1" ht="30">
      <c r="A35" s="85" t="s">
        <v>96</v>
      </c>
      <c r="B35" s="86" t="s">
        <v>123</v>
      </c>
      <c r="C35" s="77"/>
      <c r="D35" s="77"/>
      <c r="E35" s="77"/>
      <c r="F35" s="77"/>
      <c r="G35" s="77"/>
      <c r="H35" s="107"/>
      <c r="I35" s="108">
        <f>SUM(I36:I37)</f>
        <v>210000</v>
      </c>
      <c r="J35" s="108">
        <f t="shared" ref="J35:AN35" si="16">SUM(J36:J37)</f>
        <v>210000</v>
      </c>
      <c r="K35" s="108">
        <f t="shared" si="16"/>
        <v>0</v>
      </c>
      <c r="L35" s="108">
        <f t="shared" si="16"/>
        <v>0</v>
      </c>
      <c r="M35" s="108">
        <f t="shared" si="16"/>
        <v>203401</v>
      </c>
      <c r="N35" s="108">
        <f t="shared" si="16"/>
        <v>0</v>
      </c>
      <c r="O35" s="108">
        <f t="shared" si="16"/>
        <v>0</v>
      </c>
      <c r="P35" s="108">
        <f t="shared" si="16"/>
        <v>1300</v>
      </c>
      <c r="Q35" s="108">
        <f t="shared" si="16"/>
        <v>0</v>
      </c>
      <c r="R35" s="108">
        <f t="shared" si="16"/>
        <v>1300</v>
      </c>
      <c r="S35" s="108">
        <f t="shared" si="16"/>
        <v>1300</v>
      </c>
      <c r="T35" s="108">
        <f t="shared" si="16"/>
        <v>0</v>
      </c>
      <c r="U35" s="108">
        <f t="shared" si="16"/>
        <v>50000</v>
      </c>
      <c r="V35" s="108">
        <f t="shared" si="16"/>
        <v>0</v>
      </c>
      <c r="W35" s="108">
        <f t="shared" si="16"/>
        <v>41154.716591000004</v>
      </c>
      <c r="X35" s="108">
        <f t="shared" si="16"/>
        <v>41154.716591000004</v>
      </c>
      <c r="Y35" s="108">
        <f t="shared" si="16"/>
        <v>0</v>
      </c>
      <c r="Z35" s="108">
        <f t="shared" si="16"/>
        <v>71700</v>
      </c>
      <c r="AA35" s="108">
        <f t="shared" si="16"/>
        <v>0</v>
      </c>
      <c r="AB35" s="108">
        <f t="shared" si="16"/>
        <v>71699.998999999996</v>
      </c>
      <c r="AC35" s="108">
        <f t="shared" si="16"/>
        <v>71699.998999999996</v>
      </c>
      <c r="AD35" s="108">
        <f t="shared" si="16"/>
        <v>0</v>
      </c>
      <c r="AE35" s="108">
        <f t="shared" si="16"/>
        <v>80401</v>
      </c>
      <c r="AF35" s="108">
        <f t="shared" si="16"/>
        <v>0</v>
      </c>
      <c r="AG35" s="108">
        <f t="shared" si="16"/>
        <v>80401</v>
      </c>
      <c r="AH35" s="108">
        <f t="shared" si="16"/>
        <v>80401</v>
      </c>
      <c r="AI35" s="108">
        <f t="shared" si="16"/>
        <v>0</v>
      </c>
      <c r="AJ35" s="108">
        <f t="shared" si="16"/>
        <v>0</v>
      </c>
      <c r="AK35" s="108">
        <f t="shared" si="16"/>
        <v>0</v>
      </c>
      <c r="AL35" s="108">
        <f t="shared" si="16"/>
        <v>0</v>
      </c>
      <c r="AM35" s="108">
        <f t="shared" si="16"/>
        <v>0</v>
      </c>
      <c r="AN35" s="108">
        <f t="shared" si="16"/>
        <v>0</v>
      </c>
      <c r="AO35" s="139">
        <f t="shared" si="2"/>
        <v>203401</v>
      </c>
      <c r="AP35" s="141">
        <f t="shared" si="3"/>
        <v>0</v>
      </c>
      <c r="AQ35" s="90"/>
      <c r="AS35" s="7"/>
      <c r="AT35" s="7"/>
      <c r="AU35" s="7"/>
      <c r="AV35" s="7"/>
    </row>
    <row r="36" spans="1:48" s="9" customFormat="1" ht="30.75">
      <c r="A36" s="95">
        <v>1</v>
      </c>
      <c r="B36" s="96" t="s">
        <v>129</v>
      </c>
      <c r="C36" s="77" t="s">
        <v>38</v>
      </c>
      <c r="D36" s="77" t="s">
        <v>228</v>
      </c>
      <c r="E36" s="77" t="s">
        <v>227</v>
      </c>
      <c r="F36" s="77">
        <v>2024</v>
      </c>
      <c r="G36" s="77"/>
      <c r="H36" s="91" t="s">
        <v>295</v>
      </c>
      <c r="I36" s="105">
        <v>110000</v>
      </c>
      <c r="J36" s="105">
        <v>110000</v>
      </c>
      <c r="K36" s="105"/>
      <c r="L36" s="105"/>
      <c r="M36" s="113">
        <v>109598</v>
      </c>
      <c r="N36" s="105"/>
      <c r="O36" s="106"/>
      <c r="P36" s="15">
        <v>700</v>
      </c>
      <c r="Q36" s="15"/>
      <c r="R36" s="15">
        <f>S36+T36</f>
        <v>700</v>
      </c>
      <c r="S36" s="15">
        <v>700</v>
      </c>
      <c r="T36" s="15"/>
      <c r="U36" s="15">
        <v>30000</v>
      </c>
      <c r="V36" s="15"/>
      <c r="W36" s="15">
        <f>X36+Y36</f>
        <v>24008.294684</v>
      </c>
      <c r="X36" s="15">
        <v>24008.294684</v>
      </c>
      <c r="Y36" s="15"/>
      <c r="Z36" s="15">
        <v>31700</v>
      </c>
      <c r="AA36" s="15"/>
      <c r="AB36" s="15">
        <f>AC36+AD36</f>
        <v>31699.999</v>
      </c>
      <c r="AC36" s="15">
        <v>31699.999</v>
      </c>
      <c r="AD36" s="15"/>
      <c r="AE36" s="15">
        <v>47198</v>
      </c>
      <c r="AF36" s="90"/>
      <c r="AG36" s="15">
        <v>47198</v>
      </c>
      <c r="AH36" s="15">
        <v>47198</v>
      </c>
      <c r="AI36" s="15"/>
      <c r="AJ36" s="15"/>
      <c r="AK36" s="15"/>
      <c r="AL36" s="15"/>
      <c r="AM36" s="15"/>
      <c r="AN36" s="15"/>
      <c r="AO36" s="139">
        <f t="shared" si="2"/>
        <v>109598</v>
      </c>
      <c r="AP36" s="141">
        <f t="shared" si="3"/>
        <v>0</v>
      </c>
      <c r="AQ36" s="23" t="s">
        <v>351</v>
      </c>
      <c r="AS36" s="7"/>
      <c r="AT36" s="7">
        <v>1</v>
      </c>
      <c r="AU36" s="7"/>
      <c r="AV36" s="7"/>
    </row>
    <row r="37" spans="1:48" s="9" customFormat="1" ht="30.75">
      <c r="A37" s="95">
        <v>2</v>
      </c>
      <c r="B37" s="96" t="s">
        <v>130</v>
      </c>
      <c r="C37" s="77" t="s">
        <v>38</v>
      </c>
      <c r="D37" s="77" t="s">
        <v>228</v>
      </c>
      <c r="E37" s="77" t="s">
        <v>227</v>
      </c>
      <c r="F37" s="77">
        <v>2024</v>
      </c>
      <c r="G37" s="77"/>
      <c r="H37" s="91" t="s">
        <v>296</v>
      </c>
      <c r="I37" s="105">
        <v>100000</v>
      </c>
      <c r="J37" s="105">
        <v>100000</v>
      </c>
      <c r="K37" s="105"/>
      <c r="L37" s="105"/>
      <c r="M37" s="113">
        <v>93803</v>
      </c>
      <c r="N37" s="105"/>
      <c r="O37" s="106"/>
      <c r="P37" s="15">
        <v>600</v>
      </c>
      <c r="Q37" s="15"/>
      <c r="R37" s="15">
        <f>S37+T37</f>
        <v>600</v>
      </c>
      <c r="S37" s="15">
        <v>600</v>
      </c>
      <c r="T37" s="15"/>
      <c r="U37" s="15">
        <v>20000</v>
      </c>
      <c r="V37" s="15"/>
      <c r="W37" s="15">
        <f>X37+Y37</f>
        <v>17146.421907</v>
      </c>
      <c r="X37" s="15">
        <v>17146.421907</v>
      </c>
      <c r="Y37" s="15"/>
      <c r="Z37" s="15">
        <v>40000</v>
      </c>
      <c r="AA37" s="15"/>
      <c r="AB37" s="15">
        <f>AC37+AD37</f>
        <v>40000</v>
      </c>
      <c r="AC37" s="15">
        <v>40000</v>
      </c>
      <c r="AD37" s="15"/>
      <c r="AE37" s="15">
        <v>33203</v>
      </c>
      <c r="AF37" s="90"/>
      <c r="AG37" s="15">
        <v>33203</v>
      </c>
      <c r="AH37" s="15">
        <v>33203</v>
      </c>
      <c r="AI37" s="15"/>
      <c r="AJ37" s="15"/>
      <c r="AK37" s="15"/>
      <c r="AL37" s="15"/>
      <c r="AM37" s="15"/>
      <c r="AN37" s="15"/>
      <c r="AO37" s="139">
        <f t="shared" si="2"/>
        <v>93803</v>
      </c>
      <c r="AP37" s="141">
        <f t="shared" si="3"/>
        <v>0</v>
      </c>
      <c r="AQ37" s="23" t="s">
        <v>351</v>
      </c>
      <c r="AS37" s="7"/>
      <c r="AT37" s="7">
        <v>1</v>
      </c>
      <c r="AU37" s="7"/>
      <c r="AV37" s="7"/>
    </row>
    <row r="38" spans="1:48" s="9" customFormat="1" ht="30">
      <c r="A38" s="101" t="s">
        <v>136</v>
      </c>
      <c r="B38" s="103" t="s">
        <v>132</v>
      </c>
      <c r="C38" s="77"/>
      <c r="D38" s="77"/>
      <c r="E38" s="77"/>
      <c r="F38" s="77"/>
      <c r="G38" s="77"/>
      <c r="H38" s="102"/>
      <c r="I38" s="104">
        <f>I39+I42</f>
        <v>341695</v>
      </c>
      <c r="J38" s="104">
        <f t="shared" ref="J38:AN38" si="17">J39+J42</f>
        <v>331695</v>
      </c>
      <c r="K38" s="104">
        <f t="shared" si="17"/>
        <v>136695</v>
      </c>
      <c r="L38" s="104">
        <f t="shared" si="17"/>
        <v>126695</v>
      </c>
      <c r="M38" s="104">
        <f t="shared" si="17"/>
        <v>172183</v>
      </c>
      <c r="N38" s="104">
        <f t="shared" si="17"/>
        <v>0</v>
      </c>
      <c r="O38" s="104">
        <f t="shared" si="17"/>
        <v>0</v>
      </c>
      <c r="P38" s="104">
        <f t="shared" si="17"/>
        <v>40000</v>
      </c>
      <c r="Q38" s="104">
        <f t="shared" si="17"/>
        <v>0</v>
      </c>
      <c r="R38" s="104">
        <f t="shared" si="17"/>
        <v>40000</v>
      </c>
      <c r="S38" s="104">
        <f t="shared" si="17"/>
        <v>40000</v>
      </c>
      <c r="T38" s="104">
        <f t="shared" si="17"/>
        <v>0</v>
      </c>
      <c r="U38" s="104">
        <f t="shared" si="17"/>
        <v>99183</v>
      </c>
      <c r="V38" s="104">
        <f t="shared" si="17"/>
        <v>27495.052000000003</v>
      </c>
      <c r="W38" s="104">
        <f t="shared" si="17"/>
        <v>97750.086752999996</v>
      </c>
      <c r="X38" s="104">
        <f t="shared" si="17"/>
        <v>70259.151777999999</v>
      </c>
      <c r="Y38" s="104">
        <f t="shared" si="17"/>
        <v>27490.934975000004</v>
      </c>
      <c r="Z38" s="104">
        <f t="shared" si="17"/>
        <v>20000</v>
      </c>
      <c r="AA38" s="104">
        <f t="shared" si="17"/>
        <v>0</v>
      </c>
      <c r="AB38" s="104">
        <f t="shared" si="17"/>
        <v>20000</v>
      </c>
      <c r="AC38" s="104">
        <f t="shared" si="17"/>
        <v>20000</v>
      </c>
      <c r="AD38" s="104">
        <f t="shared" si="17"/>
        <v>0</v>
      </c>
      <c r="AE38" s="104">
        <f t="shared" si="17"/>
        <v>6000.2</v>
      </c>
      <c r="AF38" s="104">
        <f t="shared" si="17"/>
        <v>0</v>
      </c>
      <c r="AG38" s="104">
        <f t="shared" si="17"/>
        <v>6000.2</v>
      </c>
      <c r="AH38" s="104">
        <f t="shared" si="17"/>
        <v>6000.2</v>
      </c>
      <c r="AI38" s="104">
        <f t="shared" si="17"/>
        <v>0</v>
      </c>
      <c r="AJ38" s="104">
        <f t="shared" si="17"/>
        <v>6999.8000000000029</v>
      </c>
      <c r="AK38" s="104">
        <f t="shared" si="17"/>
        <v>0</v>
      </c>
      <c r="AL38" s="104">
        <f t="shared" si="17"/>
        <v>0</v>
      </c>
      <c r="AM38" s="104">
        <f t="shared" si="17"/>
        <v>0</v>
      </c>
      <c r="AN38" s="104">
        <f t="shared" si="17"/>
        <v>0</v>
      </c>
      <c r="AO38" s="139">
        <f t="shared" si="2"/>
        <v>165183.20000000001</v>
      </c>
      <c r="AP38" s="141">
        <f t="shared" si="3"/>
        <v>6999.7999999999884</v>
      </c>
      <c r="AQ38" s="90"/>
      <c r="AS38" s="7"/>
      <c r="AT38" s="7"/>
      <c r="AU38" s="7"/>
      <c r="AV38" s="7"/>
    </row>
    <row r="39" spans="1:48" s="9" customFormat="1" ht="30">
      <c r="A39" s="81" t="s">
        <v>120</v>
      </c>
      <c r="B39" s="82" t="s">
        <v>35</v>
      </c>
      <c r="C39" s="77"/>
      <c r="D39" s="77"/>
      <c r="E39" s="77"/>
      <c r="F39" s="77"/>
      <c r="G39" s="77"/>
      <c r="H39" s="102"/>
      <c r="I39" s="104">
        <f>SUM(I40:I41)</f>
        <v>296695</v>
      </c>
      <c r="J39" s="104">
        <f t="shared" ref="J39:AN39" si="18">SUM(J40:J41)</f>
        <v>286695</v>
      </c>
      <c r="K39" s="104">
        <f t="shared" si="18"/>
        <v>136695</v>
      </c>
      <c r="L39" s="104">
        <f t="shared" si="18"/>
        <v>126695</v>
      </c>
      <c r="M39" s="104">
        <f t="shared" si="18"/>
        <v>127183</v>
      </c>
      <c r="N39" s="104">
        <f t="shared" si="18"/>
        <v>0</v>
      </c>
      <c r="O39" s="104">
        <f t="shared" si="18"/>
        <v>0</v>
      </c>
      <c r="P39" s="104">
        <f t="shared" si="18"/>
        <v>40000</v>
      </c>
      <c r="Q39" s="104">
        <f t="shared" si="18"/>
        <v>0</v>
      </c>
      <c r="R39" s="104">
        <f t="shared" si="18"/>
        <v>40000</v>
      </c>
      <c r="S39" s="104">
        <f t="shared" si="18"/>
        <v>40000</v>
      </c>
      <c r="T39" s="104">
        <f t="shared" si="18"/>
        <v>0</v>
      </c>
      <c r="U39" s="104">
        <f t="shared" si="18"/>
        <v>87183</v>
      </c>
      <c r="V39" s="104">
        <f t="shared" si="18"/>
        <v>27455.486000000001</v>
      </c>
      <c r="W39" s="104">
        <f t="shared" si="18"/>
        <v>85750.086310999992</v>
      </c>
      <c r="X39" s="104">
        <f t="shared" si="18"/>
        <v>58298.717336000002</v>
      </c>
      <c r="Y39" s="104">
        <f t="shared" si="18"/>
        <v>27451.368975000001</v>
      </c>
      <c r="Z39" s="104">
        <f t="shared" si="18"/>
        <v>0</v>
      </c>
      <c r="AA39" s="104">
        <f t="shared" si="18"/>
        <v>0</v>
      </c>
      <c r="AB39" s="104">
        <f t="shared" si="18"/>
        <v>0</v>
      </c>
      <c r="AC39" s="104">
        <f t="shared" si="18"/>
        <v>0</v>
      </c>
      <c r="AD39" s="104">
        <f t="shared" si="18"/>
        <v>0</v>
      </c>
      <c r="AE39" s="104">
        <f t="shared" si="18"/>
        <v>0</v>
      </c>
      <c r="AF39" s="104">
        <f t="shared" si="18"/>
        <v>0</v>
      </c>
      <c r="AG39" s="104">
        <f t="shared" si="18"/>
        <v>0</v>
      </c>
      <c r="AH39" s="104">
        <f t="shared" si="18"/>
        <v>0</v>
      </c>
      <c r="AI39" s="104">
        <f t="shared" si="18"/>
        <v>0</v>
      </c>
      <c r="AJ39" s="104">
        <f t="shared" si="18"/>
        <v>0</v>
      </c>
      <c r="AK39" s="104">
        <f t="shared" si="18"/>
        <v>0</v>
      </c>
      <c r="AL39" s="104">
        <f t="shared" si="18"/>
        <v>0</v>
      </c>
      <c r="AM39" s="104">
        <f t="shared" si="18"/>
        <v>0</v>
      </c>
      <c r="AN39" s="104">
        <f t="shared" si="18"/>
        <v>0</v>
      </c>
      <c r="AO39" s="139">
        <f t="shared" si="2"/>
        <v>127183</v>
      </c>
      <c r="AP39" s="141">
        <f t="shared" si="3"/>
        <v>0</v>
      </c>
      <c r="AQ39" s="90"/>
      <c r="AS39" s="7"/>
      <c r="AT39" s="7"/>
      <c r="AU39" s="7"/>
      <c r="AV39" s="7"/>
    </row>
    <row r="40" spans="1:48" s="9" customFormat="1" ht="131.25">
      <c r="A40" s="95">
        <v>1</v>
      </c>
      <c r="B40" s="96" t="s">
        <v>133</v>
      </c>
      <c r="C40" s="77" t="s">
        <v>38</v>
      </c>
      <c r="D40" s="77" t="s">
        <v>229</v>
      </c>
      <c r="E40" s="77">
        <v>2010</v>
      </c>
      <c r="F40" s="77">
        <v>2023</v>
      </c>
      <c r="G40" s="77" t="s">
        <v>251</v>
      </c>
      <c r="H40" s="91" t="s">
        <v>297</v>
      </c>
      <c r="I40" s="105">
        <v>131695</v>
      </c>
      <c r="J40" s="105">
        <v>121695</v>
      </c>
      <c r="K40" s="105">
        <v>56695</v>
      </c>
      <c r="L40" s="105">
        <v>46695</v>
      </c>
      <c r="M40" s="105">
        <v>50000</v>
      </c>
      <c r="N40" s="105"/>
      <c r="O40" s="106"/>
      <c r="P40" s="15"/>
      <c r="Q40" s="15"/>
      <c r="R40" s="15">
        <f>S40+T40</f>
        <v>0</v>
      </c>
      <c r="S40" s="15"/>
      <c r="T40" s="15"/>
      <c r="U40" s="15">
        <v>50000</v>
      </c>
      <c r="V40" s="15">
        <v>26979.486000000001</v>
      </c>
      <c r="W40" s="15">
        <f>X40+Y40</f>
        <v>49999.514654999999</v>
      </c>
      <c r="X40" s="15">
        <v>23020.514739999999</v>
      </c>
      <c r="Y40" s="15">
        <v>26978.999915</v>
      </c>
      <c r="Z40" s="15"/>
      <c r="AA40" s="15"/>
      <c r="AB40" s="15">
        <f>AC40+AD40</f>
        <v>0</v>
      </c>
      <c r="AC40" s="15"/>
      <c r="AD40" s="15"/>
      <c r="AE40" s="15"/>
      <c r="AF40" s="90"/>
      <c r="AG40" s="90"/>
      <c r="AH40" s="90"/>
      <c r="AI40" s="90"/>
      <c r="AJ40" s="90"/>
      <c r="AK40" s="90"/>
      <c r="AL40" s="90"/>
      <c r="AM40" s="90"/>
      <c r="AN40" s="90"/>
      <c r="AO40" s="139">
        <f t="shared" si="2"/>
        <v>50000</v>
      </c>
      <c r="AP40" s="141">
        <f t="shared" si="3"/>
        <v>0</v>
      </c>
      <c r="AQ40" s="90"/>
      <c r="AS40" s="7">
        <v>1</v>
      </c>
      <c r="AT40" s="7"/>
      <c r="AU40" s="7"/>
      <c r="AV40" s="7"/>
    </row>
    <row r="41" spans="1:48" s="9" customFormat="1" ht="51.75" customHeight="1">
      <c r="A41" s="95">
        <v>2</v>
      </c>
      <c r="B41" s="97" t="s">
        <v>134</v>
      </c>
      <c r="C41" s="77" t="s">
        <v>38</v>
      </c>
      <c r="D41" s="77" t="s">
        <v>230</v>
      </c>
      <c r="E41" s="77">
        <v>2017</v>
      </c>
      <c r="F41" s="77">
        <v>2022</v>
      </c>
      <c r="G41" s="77" t="s">
        <v>252</v>
      </c>
      <c r="H41" s="91" t="s">
        <v>298</v>
      </c>
      <c r="I41" s="105">
        <v>165000</v>
      </c>
      <c r="J41" s="105">
        <v>165000</v>
      </c>
      <c r="K41" s="105">
        <v>80000</v>
      </c>
      <c r="L41" s="105">
        <v>80000</v>
      </c>
      <c r="M41" s="113">
        <v>77183</v>
      </c>
      <c r="N41" s="105"/>
      <c r="O41" s="106"/>
      <c r="P41" s="15">
        <v>40000</v>
      </c>
      <c r="Q41" s="15"/>
      <c r="R41" s="15">
        <f>S41+T41</f>
        <v>40000</v>
      </c>
      <c r="S41" s="15">
        <v>40000</v>
      </c>
      <c r="T41" s="15"/>
      <c r="U41" s="15">
        <v>37183</v>
      </c>
      <c r="V41" s="15">
        <v>476</v>
      </c>
      <c r="W41" s="15">
        <f>X41+Y41</f>
        <v>35750.571656</v>
      </c>
      <c r="X41" s="15">
        <v>35278.202596000003</v>
      </c>
      <c r="Y41" s="15">
        <v>472.36905999999999</v>
      </c>
      <c r="Z41" s="15"/>
      <c r="AA41" s="15"/>
      <c r="AB41" s="15">
        <f>AC41+AD41</f>
        <v>0</v>
      </c>
      <c r="AC41" s="15"/>
      <c r="AD41" s="15"/>
      <c r="AE41" s="15"/>
      <c r="AF41" s="90"/>
      <c r="AG41" s="90"/>
      <c r="AH41" s="90"/>
      <c r="AI41" s="90"/>
      <c r="AJ41" s="90"/>
      <c r="AK41" s="90"/>
      <c r="AL41" s="90"/>
      <c r="AM41" s="90"/>
      <c r="AN41" s="90"/>
      <c r="AO41" s="139">
        <f t="shared" si="2"/>
        <v>77183</v>
      </c>
      <c r="AP41" s="141">
        <f t="shared" si="3"/>
        <v>0</v>
      </c>
      <c r="AQ41" s="23" t="s">
        <v>351</v>
      </c>
      <c r="AS41" s="7">
        <v>1</v>
      </c>
      <c r="AT41" s="7"/>
      <c r="AU41" s="7"/>
      <c r="AV41" s="7"/>
    </row>
    <row r="42" spans="1:48" s="9" customFormat="1" ht="30">
      <c r="A42" s="81" t="s">
        <v>122</v>
      </c>
      <c r="B42" s="82" t="s">
        <v>36</v>
      </c>
      <c r="C42" s="77"/>
      <c r="D42" s="77"/>
      <c r="E42" s="77"/>
      <c r="F42" s="77"/>
      <c r="G42" s="77"/>
      <c r="H42" s="102"/>
      <c r="I42" s="104">
        <f>I44</f>
        <v>45000</v>
      </c>
      <c r="J42" s="104">
        <f t="shared" ref="J42:AN42" si="19">J44</f>
        <v>45000</v>
      </c>
      <c r="K42" s="104">
        <f t="shared" si="19"/>
        <v>0</v>
      </c>
      <c r="L42" s="104">
        <f t="shared" si="19"/>
        <v>0</v>
      </c>
      <c r="M42" s="104">
        <f t="shared" si="19"/>
        <v>45000</v>
      </c>
      <c r="N42" s="104">
        <f t="shared" si="19"/>
        <v>0</v>
      </c>
      <c r="O42" s="104">
        <f t="shared" si="19"/>
        <v>0</v>
      </c>
      <c r="P42" s="104">
        <f t="shared" si="19"/>
        <v>0</v>
      </c>
      <c r="Q42" s="104">
        <f t="shared" si="19"/>
        <v>0</v>
      </c>
      <c r="R42" s="104">
        <f t="shared" si="19"/>
        <v>0</v>
      </c>
      <c r="S42" s="104">
        <f t="shared" si="19"/>
        <v>0</v>
      </c>
      <c r="T42" s="104">
        <f t="shared" si="19"/>
        <v>0</v>
      </c>
      <c r="U42" s="104">
        <f t="shared" si="19"/>
        <v>12000</v>
      </c>
      <c r="V42" s="104">
        <f t="shared" si="19"/>
        <v>39.566000000000713</v>
      </c>
      <c r="W42" s="104">
        <f t="shared" si="19"/>
        <v>12000.000442</v>
      </c>
      <c r="X42" s="104">
        <f t="shared" si="19"/>
        <v>11960.434442</v>
      </c>
      <c r="Y42" s="104">
        <f t="shared" si="19"/>
        <v>39.566000000000713</v>
      </c>
      <c r="Z42" s="104">
        <f t="shared" si="19"/>
        <v>20000</v>
      </c>
      <c r="AA42" s="104">
        <f t="shared" si="19"/>
        <v>0</v>
      </c>
      <c r="AB42" s="104">
        <f t="shared" si="19"/>
        <v>20000</v>
      </c>
      <c r="AC42" s="104">
        <f t="shared" si="19"/>
        <v>20000</v>
      </c>
      <c r="AD42" s="104">
        <f t="shared" si="19"/>
        <v>0</v>
      </c>
      <c r="AE42" s="104">
        <f t="shared" si="19"/>
        <v>6000.2</v>
      </c>
      <c r="AF42" s="104">
        <f t="shared" si="19"/>
        <v>0</v>
      </c>
      <c r="AG42" s="104">
        <f t="shared" si="19"/>
        <v>6000.2</v>
      </c>
      <c r="AH42" s="104">
        <f t="shared" si="19"/>
        <v>6000.2</v>
      </c>
      <c r="AI42" s="104">
        <f t="shared" si="19"/>
        <v>0</v>
      </c>
      <c r="AJ42" s="104">
        <f t="shared" si="19"/>
        <v>6999.8000000000029</v>
      </c>
      <c r="AK42" s="104">
        <f t="shared" si="19"/>
        <v>0</v>
      </c>
      <c r="AL42" s="104">
        <f t="shared" si="19"/>
        <v>0</v>
      </c>
      <c r="AM42" s="104">
        <f t="shared" si="19"/>
        <v>0</v>
      </c>
      <c r="AN42" s="104">
        <f t="shared" si="19"/>
        <v>0</v>
      </c>
      <c r="AO42" s="139">
        <f t="shared" si="2"/>
        <v>38000.199999999997</v>
      </c>
      <c r="AP42" s="141">
        <f t="shared" si="3"/>
        <v>6999.8000000000029</v>
      </c>
      <c r="AQ42" s="90"/>
      <c r="AS42" s="7"/>
      <c r="AT42" s="7"/>
      <c r="AU42" s="7"/>
      <c r="AV42" s="7"/>
    </row>
    <row r="43" spans="1:48" s="9" customFormat="1" ht="30">
      <c r="A43" s="85" t="s">
        <v>96</v>
      </c>
      <c r="B43" s="86" t="s">
        <v>123</v>
      </c>
      <c r="C43" s="77"/>
      <c r="D43" s="77"/>
      <c r="E43" s="77"/>
      <c r="F43" s="77"/>
      <c r="G43" s="77"/>
      <c r="H43" s="107"/>
      <c r="I43" s="108">
        <f>I44</f>
        <v>45000</v>
      </c>
      <c r="J43" s="108">
        <f t="shared" ref="J43:AN43" si="20">J44</f>
        <v>45000</v>
      </c>
      <c r="K43" s="108">
        <f t="shared" si="20"/>
        <v>0</v>
      </c>
      <c r="L43" s="108">
        <f t="shared" si="20"/>
        <v>0</v>
      </c>
      <c r="M43" s="108">
        <f t="shared" si="20"/>
        <v>45000</v>
      </c>
      <c r="N43" s="108">
        <f t="shared" si="20"/>
        <v>0</v>
      </c>
      <c r="O43" s="108">
        <f t="shared" si="20"/>
        <v>0</v>
      </c>
      <c r="P43" s="108">
        <f t="shared" si="20"/>
        <v>0</v>
      </c>
      <c r="Q43" s="108">
        <f t="shared" si="20"/>
        <v>0</v>
      </c>
      <c r="R43" s="108">
        <f t="shared" si="20"/>
        <v>0</v>
      </c>
      <c r="S43" s="108">
        <f t="shared" si="20"/>
        <v>0</v>
      </c>
      <c r="T43" s="108">
        <f t="shared" si="20"/>
        <v>0</v>
      </c>
      <c r="U43" s="108">
        <f t="shared" si="20"/>
        <v>12000</v>
      </c>
      <c r="V43" s="108">
        <f t="shared" si="20"/>
        <v>39.566000000000713</v>
      </c>
      <c r="W43" s="108">
        <f t="shared" si="20"/>
        <v>12000.000442</v>
      </c>
      <c r="X43" s="108">
        <f t="shared" si="20"/>
        <v>11960.434442</v>
      </c>
      <c r="Y43" s="108">
        <f t="shared" si="20"/>
        <v>39.566000000000713</v>
      </c>
      <c r="Z43" s="108">
        <f t="shared" si="20"/>
        <v>20000</v>
      </c>
      <c r="AA43" s="108">
        <f t="shared" si="20"/>
        <v>0</v>
      </c>
      <c r="AB43" s="108">
        <f t="shared" si="20"/>
        <v>20000</v>
      </c>
      <c r="AC43" s="108">
        <f t="shared" si="20"/>
        <v>20000</v>
      </c>
      <c r="AD43" s="108">
        <f t="shared" si="20"/>
        <v>0</v>
      </c>
      <c r="AE43" s="108">
        <f t="shared" si="20"/>
        <v>6000.2</v>
      </c>
      <c r="AF43" s="108">
        <f t="shared" si="20"/>
        <v>0</v>
      </c>
      <c r="AG43" s="108">
        <f t="shared" si="20"/>
        <v>6000.2</v>
      </c>
      <c r="AH43" s="108">
        <f t="shared" si="20"/>
        <v>6000.2</v>
      </c>
      <c r="AI43" s="108">
        <f t="shared" si="20"/>
        <v>0</v>
      </c>
      <c r="AJ43" s="108">
        <f t="shared" si="20"/>
        <v>6999.8000000000029</v>
      </c>
      <c r="AK43" s="108">
        <f t="shared" si="20"/>
        <v>0</v>
      </c>
      <c r="AL43" s="108">
        <f t="shared" si="20"/>
        <v>0</v>
      </c>
      <c r="AM43" s="108">
        <f t="shared" si="20"/>
        <v>0</v>
      </c>
      <c r="AN43" s="108">
        <f t="shared" si="20"/>
        <v>0</v>
      </c>
      <c r="AO43" s="139">
        <f t="shared" si="2"/>
        <v>38000.199999999997</v>
      </c>
      <c r="AP43" s="141">
        <f t="shared" si="3"/>
        <v>6999.8000000000029</v>
      </c>
      <c r="AQ43" s="90"/>
      <c r="AS43" s="7"/>
      <c r="AT43" s="7"/>
      <c r="AU43" s="7"/>
      <c r="AV43" s="7"/>
    </row>
    <row r="44" spans="1:48" s="9" customFormat="1" ht="46.15">
      <c r="A44" s="95">
        <v>1</v>
      </c>
      <c r="B44" s="97" t="s">
        <v>135</v>
      </c>
      <c r="C44" s="77" t="s">
        <v>38</v>
      </c>
      <c r="D44" s="77" t="s">
        <v>229</v>
      </c>
      <c r="E44" s="77">
        <v>2022</v>
      </c>
      <c r="F44" s="77">
        <v>2024</v>
      </c>
      <c r="G44" s="77" t="s">
        <v>253</v>
      </c>
      <c r="H44" s="91" t="s">
        <v>299</v>
      </c>
      <c r="I44" s="105">
        <v>45000</v>
      </c>
      <c r="J44" s="105">
        <v>45000</v>
      </c>
      <c r="K44" s="105"/>
      <c r="L44" s="105"/>
      <c r="M44" s="105">
        <v>45000</v>
      </c>
      <c r="N44" s="105"/>
      <c r="O44" s="106"/>
      <c r="P44" s="15"/>
      <c r="Q44" s="15"/>
      <c r="R44" s="15">
        <f>S44+T44</f>
        <v>0</v>
      </c>
      <c r="S44" s="15"/>
      <c r="T44" s="15"/>
      <c r="U44" s="15">
        <v>12000</v>
      </c>
      <c r="V44" s="15">
        <v>39.566000000000713</v>
      </c>
      <c r="W44" s="15">
        <f>X44+Y44</f>
        <v>12000.000442</v>
      </c>
      <c r="X44" s="15">
        <v>11960.434442</v>
      </c>
      <c r="Y44" s="15">
        <v>39.566000000000713</v>
      </c>
      <c r="Z44" s="15">
        <v>20000</v>
      </c>
      <c r="AA44" s="15"/>
      <c r="AB44" s="15">
        <f>AC44+AD44</f>
        <v>20000</v>
      </c>
      <c r="AC44" s="15">
        <v>20000</v>
      </c>
      <c r="AD44" s="15"/>
      <c r="AE44" s="143">
        <v>6000.2</v>
      </c>
      <c r="AF44" s="90"/>
      <c r="AG44" s="15">
        <f>AH44+AI44</f>
        <v>6000.2</v>
      </c>
      <c r="AH44" s="143">
        <v>6000.2</v>
      </c>
      <c r="AI44" s="15"/>
      <c r="AJ44" s="15">
        <v>6999.8000000000029</v>
      </c>
      <c r="AK44" s="15"/>
      <c r="AL44" s="15"/>
      <c r="AM44" s="15"/>
      <c r="AN44" s="15"/>
      <c r="AO44" s="139">
        <f t="shared" si="2"/>
        <v>38000.199999999997</v>
      </c>
      <c r="AP44" s="141">
        <f t="shared" si="3"/>
        <v>6999.8000000000029</v>
      </c>
      <c r="AQ44" s="90"/>
      <c r="AS44" s="7"/>
      <c r="AT44" s="7">
        <v>1</v>
      </c>
      <c r="AU44" s="7"/>
      <c r="AV44" s="7"/>
    </row>
    <row r="45" spans="1:48" s="9" customFormat="1" ht="30">
      <c r="A45" s="101" t="s">
        <v>142</v>
      </c>
      <c r="B45" s="103" t="s">
        <v>137</v>
      </c>
      <c r="C45" s="77"/>
      <c r="D45" s="77"/>
      <c r="E45" s="77"/>
      <c r="F45" s="77"/>
      <c r="G45" s="77"/>
      <c r="H45" s="102"/>
      <c r="I45" s="104">
        <f t="shared" ref="I45:AN45" si="21">I46+I48</f>
        <v>591928</v>
      </c>
      <c r="J45" s="104">
        <f t="shared" si="21"/>
        <v>522809</v>
      </c>
      <c r="K45" s="104">
        <f t="shared" si="21"/>
        <v>193389</v>
      </c>
      <c r="L45" s="104">
        <f t="shared" si="21"/>
        <v>171958</v>
      </c>
      <c r="M45" s="104">
        <f t="shared" si="21"/>
        <v>159777</v>
      </c>
      <c r="N45" s="104">
        <f t="shared" si="21"/>
        <v>0</v>
      </c>
      <c r="O45" s="104">
        <f t="shared" si="21"/>
        <v>0</v>
      </c>
      <c r="P45" s="104">
        <f t="shared" si="21"/>
        <v>9803</v>
      </c>
      <c r="Q45" s="104">
        <f t="shared" si="21"/>
        <v>0</v>
      </c>
      <c r="R45" s="104">
        <f t="shared" si="21"/>
        <v>9803</v>
      </c>
      <c r="S45" s="104">
        <f t="shared" si="21"/>
        <v>9803</v>
      </c>
      <c r="T45" s="104">
        <f t="shared" si="21"/>
        <v>0</v>
      </c>
      <c r="U45" s="104">
        <f t="shared" si="21"/>
        <v>0</v>
      </c>
      <c r="V45" s="104">
        <f t="shared" si="21"/>
        <v>0</v>
      </c>
      <c r="W45" s="104">
        <f t="shared" si="21"/>
        <v>0</v>
      </c>
      <c r="X45" s="104">
        <f t="shared" si="21"/>
        <v>0</v>
      </c>
      <c r="Y45" s="104">
        <f t="shared" si="21"/>
        <v>0</v>
      </c>
      <c r="Z45" s="104">
        <f t="shared" si="21"/>
        <v>1058</v>
      </c>
      <c r="AA45" s="104">
        <f t="shared" si="21"/>
        <v>0</v>
      </c>
      <c r="AB45" s="104">
        <f t="shared" si="21"/>
        <v>406.6</v>
      </c>
      <c r="AC45" s="104">
        <f t="shared" si="21"/>
        <v>406.6</v>
      </c>
      <c r="AD45" s="104">
        <f t="shared" si="21"/>
        <v>0</v>
      </c>
      <c r="AE45" s="104">
        <f t="shared" si="21"/>
        <v>1500</v>
      </c>
      <c r="AF45" s="104">
        <f t="shared" si="21"/>
        <v>0</v>
      </c>
      <c r="AG45" s="104">
        <f t="shared" si="21"/>
        <v>1500</v>
      </c>
      <c r="AH45" s="104">
        <f t="shared" si="21"/>
        <v>1500</v>
      </c>
      <c r="AI45" s="104">
        <f t="shared" si="21"/>
        <v>0</v>
      </c>
      <c r="AJ45" s="104">
        <f t="shared" si="21"/>
        <v>147266</v>
      </c>
      <c r="AK45" s="104">
        <f t="shared" si="21"/>
        <v>0</v>
      </c>
      <c r="AL45" s="104">
        <f t="shared" si="21"/>
        <v>0</v>
      </c>
      <c r="AM45" s="104">
        <f t="shared" si="21"/>
        <v>0</v>
      </c>
      <c r="AN45" s="104">
        <f t="shared" si="21"/>
        <v>0</v>
      </c>
      <c r="AO45" s="139">
        <f t="shared" si="2"/>
        <v>12361</v>
      </c>
      <c r="AP45" s="141">
        <f t="shared" si="3"/>
        <v>147416</v>
      </c>
      <c r="AQ45" s="90"/>
      <c r="AS45" s="7"/>
      <c r="AT45" s="7"/>
      <c r="AU45" s="7"/>
      <c r="AV45" s="7"/>
    </row>
    <row r="46" spans="1:48" s="9" customFormat="1" ht="30">
      <c r="A46" s="81" t="s">
        <v>120</v>
      </c>
      <c r="B46" s="82" t="s">
        <v>35</v>
      </c>
      <c r="C46" s="77"/>
      <c r="D46" s="77"/>
      <c r="E46" s="77"/>
      <c r="F46" s="77"/>
      <c r="G46" s="77"/>
      <c r="H46" s="102"/>
      <c r="I46" s="104">
        <f>I47</f>
        <v>220680</v>
      </c>
      <c r="J46" s="104">
        <f t="shared" ref="J46:AN46" si="22">J47</f>
        <v>181561</v>
      </c>
      <c r="K46" s="104">
        <f t="shared" si="22"/>
        <v>193389</v>
      </c>
      <c r="L46" s="104">
        <f t="shared" si="22"/>
        <v>171958</v>
      </c>
      <c r="M46" s="104">
        <f t="shared" si="22"/>
        <v>9603</v>
      </c>
      <c r="N46" s="104">
        <f t="shared" si="22"/>
        <v>0</v>
      </c>
      <c r="O46" s="104">
        <f t="shared" si="22"/>
        <v>0</v>
      </c>
      <c r="P46" s="104">
        <f t="shared" si="22"/>
        <v>9603</v>
      </c>
      <c r="Q46" s="104">
        <f t="shared" si="22"/>
        <v>0</v>
      </c>
      <c r="R46" s="104">
        <f t="shared" si="22"/>
        <v>9603</v>
      </c>
      <c r="S46" s="104">
        <f t="shared" si="22"/>
        <v>9603</v>
      </c>
      <c r="T46" s="104">
        <f t="shared" si="22"/>
        <v>0</v>
      </c>
      <c r="U46" s="104">
        <f t="shared" si="22"/>
        <v>0</v>
      </c>
      <c r="V46" s="104">
        <f t="shared" si="22"/>
        <v>0</v>
      </c>
      <c r="W46" s="104">
        <f t="shared" si="22"/>
        <v>0</v>
      </c>
      <c r="X46" s="104">
        <f t="shared" si="22"/>
        <v>0</v>
      </c>
      <c r="Y46" s="104">
        <f t="shared" si="22"/>
        <v>0</v>
      </c>
      <c r="Z46" s="104">
        <f t="shared" si="22"/>
        <v>0</v>
      </c>
      <c r="AA46" s="104">
        <f t="shared" si="22"/>
        <v>0</v>
      </c>
      <c r="AB46" s="104">
        <f t="shared" si="22"/>
        <v>0</v>
      </c>
      <c r="AC46" s="104">
        <f t="shared" si="22"/>
        <v>0</v>
      </c>
      <c r="AD46" s="104">
        <f t="shared" si="22"/>
        <v>0</v>
      </c>
      <c r="AE46" s="104">
        <f t="shared" si="22"/>
        <v>0</v>
      </c>
      <c r="AF46" s="104">
        <f t="shared" si="22"/>
        <v>0</v>
      </c>
      <c r="AG46" s="104">
        <f t="shared" si="22"/>
        <v>0</v>
      </c>
      <c r="AH46" s="104">
        <f t="shared" si="22"/>
        <v>0</v>
      </c>
      <c r="AI46" s="104">
        <f t="shared" si="22"/>
        <v>0</v>
      </c>
      <c r="AJ46" s="104">
        <f t="shared" si="22"/>
        <v>0</v>
      </c>
      <c r="AK46" s="104">
        <f t="shared" si="22"/>
        <v>0</v>
      </c>
      <c r="AL46" s="104">
        <f t="shared" si="22"/>
        <v>0</v>
      </c>
      <c r="AM46" s="104">
        <f t="shared" si="22"/>
        <v>0</v>
      </c>
      <c r="AN46" s="104">
        <f t="shared" si="22"/>
        <v>0</v>
      </c>
      <c r="AO46" s="139">
        <f t="shared" si="2"/>
        <v>9603</v>
      </c>
      <c r="AP46" s="141">
        <f t="shared" si="3"/>
        <v>0</v>
      </c>
      <c r="AQ46" s="90"/>
      <c r="AS46" s="7"/>
      <c r="AT46" s="7"/>
      <c r="AU46" s="7"/>
      <c r="AV46" s="7"/>
    </row>
    <row r="47" spans="1:48" s="9" customFormat="1" ht="49.5" customHeight="1">
      <c r="A47" s="115">
        <v>1</v>
      </c>
      <c r="B47" s="88" t="s">
        <v>138</v>
      </c>
      <c r="C47" s="77" t="s">
        <v>38</v>
      </c>
      <c r="D47" s="77" t="s">
        <v>231</v>
      </c>
      <c r="E47" s="77" t="s">
        <v>232</v>
      </c>
      <c r="F47" s="77">
        <v>2021</v>
      </c>
      <c r="G47" s="77" t="s">
        <v>254</v>
      </c>
      <c r="H47" s="91" t="s">
        <v>300</v>
      </c>
      <c r="I47" s="105">
        <v>220680</v>
      </c>
      <c r="J47" s="105">
        <v>181561</v>
      </c>
      <c r="K47" s="105">
        <v>193389</v>
      </c>
      <c r="L47" s="105">
        <v>171958</v>
      </c>
      <c r="M47" s="105">
        <v>9603</v>
      </c>
      <c r="N47" s="105"/>
      <c r="O47" s="106"/>
      <c r="P47" s="15">
        <v>9603</v>
      </c>
      <c r="Q47" s="15"/>
      <c r="R47" s="15">
        <f>S47+T47</f>
        <v>9603</v>
      </c>
      <c r="S47" s="15">
        <v>9603</v>
      </c>
      <c r="T47" s="15"/>
      <c r="U47" s="15"/>
      <c r="V47" s="15"/>
      <c r="W47" s="15">
        <f>X47+Y47</f>
        <v>0</v>
      </c>
      <c r="X47" s="15"/>
      <c r="Y47" s="15"/>
      <c r="Z47" s="15"/>
      <c r="AA47" s="15"/>
      <c r="AB47" s="15">
        <f>AC47+AD47</f>
        <v>0</v>
      </c>
      <c r="AC47" s="15"/>
      <c r="AD47" s="15"/>
      <c r="AE47" s="15"/>
      <c r="AF47" s="90"/>
      <c r="AG47" s="90"/>
      <c r="AH47" s="90"/>
      <c r="AI47" s="90"/>
      <c r="AJ47" s="90"/>
      <c r="AK47" s="90"/>
      <c r="AL47" s="90"/>
      <c r="AM47" s="90"/>
      <c r="AN47" s="90"/>
      <c r="AO47" s="139">
        <f t="shared" si="2"/>
        <v>9603</v>
      </c>
      <c r="AP47" s="141">
        <f t="shared" si="3"/>
        <v>0</v>
      </c>
      <c r="AQ47" s="90"/>
      <c r="AS47" s="7">
        <v>1</v>
      </c>
      <c r="AT47" s="7"/>
      <c r="AU47" s="7"/>
      <c r="AV47" s="7"/>
    </row>
    <row r="48" spans="1:48" s="9" customFormat="1" ht="30">
      <c r="A48" s="81" t="s">
        <v>122</v>
      </c>
      <c r="B48" s="82" t="s">
        <v>36</v>
      </c>
      <c r="C48" s="77"/>
      <c r="D48" s="77"/>
      <c r="E48" s="77"/>
      <c r="F48" s="77"/>
      <c r="G48" s="77"/>
      <c r="H48" s="102"/>
      <c r="I48" s="104">
        <f>I49+I51</f>
        <v>371248</v>
      </c>
      <c r="J48" s="104">
        <f t="shared" ref="J48:AN48" si="23">J49+J51</f>
        <v>341248</v>
      </c>
      <c r="K48" s="104">
        <f t="shared" si="23"/>
        <v>0</v>
      </c>
      <c r="L48" s="104">
        <f t="shared" si="23"/>
        <v>0</v>
      </c>
      <c r="M48" s="104">
        <f t="shared" si="23"/>
        <v>150174</v>
      </c>
      <c r="N48" s="104">
        <f t="shared" si="23"/>
        <v>0</v>
      </c>
      <c r="O48" s="104">
        <f t="shared" si="23"/>
        <v>0</v>
      </c>
      <c r="P48" s="104">
        <f t="shared" si="23"/>
        <v>200</v>
      </c>
      <c r="Q48" s="104">
        <f t="shared" si="23"/>
        <v>0</v>
      </c>
      <c r="R48" s="104">
        <f t="shared" si="23"/>
        <v>200</v>
      </c>
      <c r="S48" s="104">
        <f t="shared" si="23"/>
        <v>200</v>
      </c>
      <c r="T48" s="104">
        <f t="shared" si="23"/>
        <v>0</v>
      </c>
      <c r="U48" s="104">
        <f t="shared" si="23"/>
        <v>0</v>
      </c>
      <c r="V48" s="104">
        <f t="shared" si="23"/>
        <v>0</v>
      </c>
      <c r="W48" s="104">
        <f t="shared" si="23"/>
        <v>0</v>
      </c>
      <c r="X48" s="104">
        <f t="shared" si="23"/>
        <v>0</v>
      </c>
      <c r="Y48" s="104">
        <f t="shared" si="23"/>
        <v>0</v>
      </c>
      <c r="Z48" s="104">
        <f t="shared" si="23"/>
        <v>1058</v>
      </c>
      <c r="AA48" s="104">
        <f t="shared" si="23"/>
        <v>0</v>
      </c>
      <c r="AB48" s="104">
        <f t="shared" si="23"/>
        <v>406.6</v>
      </c>
      <c r="AC48" s="104">
        <f t="shared" si="23"/>
        <v>406.6</v>
      </c>
      <c r="AD48" s="104">
        <f t="shared" si="23"/>
        <v>0</v>
      </c>
      <c r="AE48" s="104">
        <f t="shared" si="23"/>
        <v>1500</v>
      </c>
      <c r="AF48" s="104">
        <f t="shared" si="23"/>
        <v>0</v>
      </c>
      <c r="AG48" s="104">
        <f t="shared" si="23"/>
        <v>1500</v>
      </c>
      <c r="AH48" s="104">
        <f t="shared" si="23"/>
        <v>1500</v>
      </c>
      <c r="AI48" s="104">
        <f t="shared" si="23"/>
        <v>0</v>
      </c>
      <c r="AJ48" s="104">
        <f t="shared" si="23"/>
        <v>147266</v>
      </c>
      <c r="AK48" s="104">
        <f t="shared" si="23"/>
        <v>0</v>
      </c>
      <c r="AL48" s="104">
        <f t="shared" si="23"/>
        <v>0</v>
      </c>
      <c r="AM48" s="104">
        <f t="shared" si="23"/>
        <v>0</v>
      </c>
      <c r="AN48" s="104">
        <f t="shared" si="23"/>
        <v>0</v>
      </c>
      <c r="AO48" s="139">
        <f t="shared" si="2"/>
        <v>2758</v>
      </c>
      <c r="AP48" s="141">
        <f t="shared" si="3"/>
        <v>147416</v>
      </c>
      <c r="AQ48" s="90"/>
      <c r="AS48" s="7"/>
      <c r="AT48" s="7"/>
      <c r="AU48" s="7"/>
      <c r="AV48" s="7"/>
    </row>
    <row r="49" spans="1:49" s="9" customFormat="1" ht="30">
      <c r="A49" s="85" t="s">
        <v>96</v>
      </c>
      <c r="B49" s="86" t="s">
        <v>123</v>
      </c>
      <c r="C49" s="77"/>
      <c r="D49" s="77"/>
      <c r="E49" s="77"/>
      <c r="F49" s="77"/>
      <c r="G49" s="77"/>
      <c r="H49" s="107"/>
      <c r="I49" s="108">
        <f>I50</f>
        <v>91000</v>
      </c>
      <c r="J49" s="108">
        <f t="shared" ref="J49:AN49" si="24">J50</f>
        <v>61000</v>
      </c>
      <c r="K49" s="108">
        <f t="shared" si="24"/>
        <v>0</v>
      </c>
      <c r="L49" s="108">
        <f t="shared" si="24"/>
        <v>0</v>
      </c>
      <c r="M49" s="108">
        <f t="shared" si="24"/>
        <v>61000</v>
      </c>
      <c r="N49" s="108">
        <f t="shared" si="24"/>
        <v>0</v>
      </c>
      <c r="O49" s="108">
        <f t="shared" si="24"/>
        <v>0</v>
      </c>
      <c r="P49" s="108">
        <f t="shared" si="24"/>
        <v>0</v>
      </c>
      <c r="Q49" s="108">
        <f t="shared" si="24"/>
        <v>0</v>
      </c>
      <c r="R49" s="108">
        <f t="shared" si="24"/>
        <v>0</v>
      </c>
      <c r="S49" s="108">
        <f t="shared" si="24"/>
        <v>0</v>
      </c>
      <c r="T49" s="108">
        <f t="shared" si="24"/>
        <v>0</v>
      </c>
      <c r="U49" s="108">
        <f t="shared" si="24"/>
        <v>0</v>
      </c>
      <c r="V49" s="108">
        <f t="shared" si="24"/>
        <v>0</v>
      </c>
      <c r="W49" s="108">
        <f t="shared" si="24"/>
        <v>0</v>
      </c>
      <c r="X49" s="108">
        <f t="shared" si="24"/>
        <v>0</v>
      </c>
      <c r="Y49" s="108">
        <f t="shared" si="24"/>
        <v>0</v>
      </c>
      <c r="Z49" s="108">
        <f t="shared" si="24"/>
        <v>0</v>
      </c>
      <c r="AA49" s="108">
        <f t="shared" si="24"/>
        <v>0</v>
      </c>
      <c r="AB49" s="108">
        <f t="shared" si="24"/>
        <v>0</v>
      </c>
      <c r="AC49" s="108">
        <f t="shared" si="24"/>
        <v>0</v>
      </c>
      <c r="AD49" s="108">
        <f t="shared" si="24"/>
        <v>0</v>
      </c>
      <c r="AE49" s="108">
        <f t="shared" si="24"/>
        <v>1000</v>
      </c>
      <c r="AF49" s="108">
        <f t="shared" si="24"/>
        <v>0</v>
      </c>
      <c r="AG49" s="108">
        <f t="shared" si="24"/>
        <v>1000</v>
      </c>
      <c r="AH49" s="108">
        <f t="shared" si="24"/>
        <v>1000</v>
      </c>
      <c r="AI49" s="108">
        <f t="shared" si="24"/>
        <v>0</v>
      </c>
      <c r="AJ49" s="108">
        <f t="shared" si="24"/>
        <v>60000</v>
      </c>
      <c r="AK49" s="108">
        <f t="shared" si="24"/>
        <v>0</v>
      </c>
      <c r="AL49" s="108">
        <f t="shared" si="24"/>
        <v>0</v>
      </c>
      <c r="AM49" s="108">
        <f t="shared" si="24"/>
        <v>0</v>
      </c>
      <c r="AN49" s="108">
        <f t="shared" si="24"/>
        <v>0</v>
      </c>
      <c r="AO49" s="139">
        <f t="shared" si="2"/>
        <v>1000</v>
      </c>
      <c r="AP49" s="141">
        <f t="shared" si="3"/>
        <v>60000</v>
      </c>
      <c r="AQ49" s="90"/>
      <c r="AS49" s="7"/>
      <c r="AT49" s="7"/>
      <c r="AU49" s="7"/>
      <c r="AV49" s="7"/>
    </row>
    <row r="50" spans="1:49" s="9" customFormat="1" ht="30.75">
      <c r="A50" s="115">
        <v>1</v>
      </c>
      <c r="B50" s="88" t="s">
        <v>139</v>
      </c>
      <c r="C50" s="77" t="s">
        <v>38</v>
      </c>
      <c r="D50" s="77" t="s">
        <v>231</v>
      </c>
      <c r="E50" s="77">
        <v>2024</v>
      </c>
      <c r="F50" s="77">
        <v>2025</v>
      </c>
      <c r="G50" s="77"/>
      <c r="H50" s="91" t="s">
        <v>1056</v>
      </c>
      <c r="I50" s="105">
        <v>91000</v>
      </c>
      <c r="J50" s="105">
        <v>61000</v>
      </c>
      <c r="K50" s="105"/>
      <c r="L50" s="105"/>
      <c r="M50" s="105">
        <v>61000</v>
      </c>
      <c r="N50" s="105"/>
      <c r="O50" s="106"/>
      <c r="P50" s="15"/>
      <c r="Q50" s="15"/>
      <c r="R50" s="15">
        <f>S50+T50</f>
        <v>0</v>
      </c>
      <c r="S50" s="15"/>
      <c r="T50" s="15"/>
      <c r="U50" s="15"/>
      <c r="V50" s="15"/>
      <c r="W50" s="15">
        <f>X50+Y50</f>
        <v>0</v>
      </c>
      <c r="X50" s="15"/>
      <c r="Y50" s="15"/>
      <c r="Z50" s="15"/>
      <c r="AA50" s="15"/>
      <c r="AB50" s="15">
        <f>AC50+AD50</f>
        <v>0</v>
      </c>
      <c r="AC50" s="15"/>
      <c r="AD50" s="15"/>
      <c r="AE50" s="15">
        <v>1000</v>
      </c>
      <c r="AF50" s="90"/>
      <c r="AG50" s="15">
        <v>1000</v>
      </c>
      <c r="AH50" s="15">
        <v>1000</v>
      </c>
      <c r="AI50" s="15"/>
      <c r="AJ50" s="15">
        <v>60000</v>
      </c>
      <c r="AK50" s="15"/>
      <c r="AL50" s="15"/>
      <c r="AM50" s="15"/>
      <c r="AN50" s="15"/>
      <c r="AO50" s="139">
        <f t="shared" si="2"/>
        <v>1000</v>
      </c>
      <c r="AP50" s="141">
        <f t="shared" si="3"/>
        <v>60000</v>
      </c>
      <c r="AQ50" s="90"/>
      <c r="AS50" s="7"/>
      <c r="AT50" s="7">
        <v>1</v>
      </c>
      <c r="AU50" s="7"/>
      <c r="AV50" s="7"/>
    </row>
    <row r="51" spans="1:49" s="9" customFormat="1" ht="30">
      <c r="A51" s="85" t="s">
        <v>97</v>
      </c>
      <c r="B51" s="86" t="s">
        <v>98</v>
      </c>
      <c r="C51" s="77"/>
      <c r="D51" s="77"/>
      <c r="E51" s="77"/>
      <c r="F51" s="77"/>
      <c r="G51" s="77"/>
      <c r="H51" s="107"/>
      <c r="I51" s="108">
        <f>SUM(I52:I53)</f>
        <v>280248</v>
      </c>
      <c r="J51" s="108">
        <f t="shared" ref="J51:AN51" si="25">SUM(J52:J53)</f>
        <v>280248</v>
      </c>
      <c r="K51" s="108">
        <f t="shared" si="25"/>
        <v>0</v>
      </c>
      <c r="L51" s="108">
        <f t="shared" si="25"/>
        <v>0</v>
      </c>
      <c r="M51" s="108">
        <f t="shared" si="25"/>
        <v>89174</v>
      </c>
      <c r="N51" s="108">
        <f t="shared" si="25"/>
        <v>0</v>
      </c>
      <c r="O51" s="108">
        <f t="shared" si="25"/>
        <v>0</v>
      </c>
      <c r="P51" s="108">
        <f t="shared" si="25"/>
        <v>200</v>
      </c>
      <c r="Q51" s="108">
        <f t="shared" si="25"/>
        <v>0</v>
      </c>
      <c r="R51" s="108">
        <f t="shared" si="25"/>
        <v>200</v>
      </c>
      <c r="S51" s="108">
        <f t="shared" si="25"/>
        <v>200</v>
      </c>
      <c r="T51" s="108">
        <f t="shared" si="25"/>
        <v>0</v>
      </c>
      <c r="U51" s="108">
        <f t="shared" si="25"/>
        <v>0</v>
      </c>
      <c r="V51" s="108">
        <f t="shared" si="25"/>
        <v>0</v>
      </c>
      <c r="W51" s="108">
        <f t="shared" si="25"/>
        <v>0</v>
      </c>
      <c r="X51" s="108">
        <f t="shared" si="25"/>
        <v>0</v>
      </c>
      <c r="Y51" s="108">
        <f t="shared" si="25"/>
        <v>0</v>
      </c>
      <c r="Z51" s="108">
        <f t="shared" si="25"/>
        <v>1058</v>
      </c>
      <c r="AA51" s="108">
        <f t="shared" si="25"/>
        <v>0</v>
      </c>
      <c r="AB51" s="108">
        <f t="shared" si="25"/>
        <v>406.6</v>
      </c>
      <c r="AC51" s="108">
        <f t="shared" si="25"/>
        <v>406.6</v>
      </c>
      <c r="AD51" s="108">
        <f t="shared" si="25"/>
        <v>0</v>
      </c>
      <c r="AE51" s="108">
        <f t="shared" si="25"/>
        <v>500</v>
      </c>
      <c r="AF51" s="108">
        <f t="shared" si="25"/>
        <v>0</v>
      </c>
      <c r="AG51" s="108">
        <f t="shared" si="25"/>
        <v>500</v>
      </c>
      <c r="AH51" s="108">
        <f t="shared" si="25"/>
        <v>500</v>
      </c>
      <c r="AI51" s="108">
        <f t="shared" si="25"/>
        <v>0</v>
      </c>
      <c r="AJ51" s="108">
        <f t="shared" si="25"/>
        <v>87266</v>
      </c>
      <c r="AK51" s="108">
        <f t="shared" si="25"/>
        <v>0</v>
      </c>
      <c r="AL51" s="108">
        <f t="shared" si="25"/>
        <v>0</v>
      </c>
      <c r="AM51" s="108">
        <f t="shared" si="25"/>
        <v>0</v>
      </c>
      <c r="AN51" s="108">
        <f t="shared" si="25"/>
        <v>0</v>
      </c>
      <c r="AO51" s="139">
        <f t="shared" si="2"/>
        <v>1758</v>
      </c>
      <c r="AP51" s="141">
        <f t="shared" si="3"/>
        <v>87416</v>
      </c>
      <c r="AQ51" s="90"/>
      <c r="AS51" s="7"/>
      <c r="AT51" s="7"/>
      <c r="AU51" s="7"/>
      <c r="AV51" s="7"/>
    </row>
    <row r="52" spans="1:49" s="9" customFormat="1" ht="30.75">
      <c r="A52" s="115">
        <v>1</v>
      </c>
      <c r="B52" s="88" t="s">
        <v>140</v>
      </c>
      <c r="C52" s="77" t="s">
        <v>38</v>
      </c>
      <c r="D52" s="77" t="s">
        <v>231</v>
      </c>
      <c r="E52" s="77">
        <v>2025</v>
      </c>
      <c r="F52" s="77"/>
      <c r="G52" s="77" t="s">
        <v>255</v>
      </c>
      <c r="H52" s="112" t="s">
        <v>1047</v>
      </c>
      <c r="I52" s="105">
        <v>150000</v>
      </c>
      <c r="J52" s="105">
        <v>150000</v>
      </c>
      <c r="K52" s="105"/>
      <c r="L52" s="105"/>
      <c r="M52" s="113">
        <v>88174</v>
      </c>
      <c r="N52" s="105"/>
      <c r="O52" s="106"/>
      <c r="P52" s="15"/>
      <c r="Q52" s="15"/>
      <c r="R52" s="15">
        <f>S52+T52</f>
        <v>0</v>
      </c>
      <c r="S52" s="15"/>
      <c r="T52" s="15"/>
      <c r="U52" s="15">
        <v>0</v>
      </c>
      <c r="V52" s="15"/>
      <c r="W52" s="15">
        <f>X52+Y52</f>
        <v>0</v>
      </c>
      <c r="X52" s="15"/>
      <c r="Y52" s="15"/>
      <c r="Z52" s="15">
        <v>408</v>
      </c>
      <c r="AA52" s="15"/>
      <c r="AB52" s="15">
        <f>AC52+AD52</f>
        <v>406.6</v>
      </c>
      <c r="AC52" s="15">
        <v>406.6</v>
      </c>
      <c r="AD52" s="15"/>
      <c r="AE52" s="15">
        <v>500</v>
      </c>
      <c r="AF52" s="15"/>
      <c r="AG52" s="15">
        <v>500</v>
      </c>
      <c r="AH52" s="15">
        <v>500</v>
      </c>
      <c r="AI52" s="15"/>
      <c r="AJ52" s="15">
        <v>87266</v>
      </c>
      <c r="AK52" s="15"/>
      <c r="AL52" s="15"/>
      <c r="AM52" s="15"/>
      <c r="AN52" s="15"/>
      <c r="AO52" s="139">
        <f t="shared" si="2"/>
        <v>908</v>
      </c>
      <c r="AP52" s="141">
        <f t="shared" si="3"/>
        <v>87266</v>
      </c>
      <c r="AQ52" s="23" t="s">
        <v>351</v>
      </c>
      <c r="AR52" s="118"/>
      <c r="AS52" s="7"/>
      <c r="AT52" s="7"/>
      <c r="AU52" s="7">
        <v>1</v>
      </c>
      <c r="AV52" s="7"/>
    </row>
    <row r="53" spans="1:49" s="9" customFormat="1" ht="76.900000000000006">
      <c r="A53" s="115">
        <v>2</v>
      </c>
      <c r="B53" s="88" t="s">
        <v>141</v>
      </c>
      <c r="C53" s="77" t="s">
        <v>38</v>
      </c>
      <c r="D53" s="77" t="s">
        <v>231</v>
      </c>
      <c r="E53" s="77">
        <v>2025</v>
      </c>
      <c r="F53" s="77"/>
      <c r="G53" s="77"/>
      <c r="H53" s="91"/>
      <c r="I53" s="105">
        <v>130248</v>
      </c>
      <c r="J53" s="105">
        <v>130248</v>
      </c>
      <c r="K53" s="105"/>
      <c r="L53" s="105"/>
      <c r="M53" s="105">
        <v>1000</v>
      </c>
      <c r="N53" s="105"/>
      <c r="O53" s="106"/>
      <c r="P53" s="15">
        <v>200</v>
      </c>
      <c r="Q53" s="15"/>
      <c r="R53" s="15">
        <f>S53+T53</f>
        <v>200</v>
      </c>
      <c r="S53" s="15">
        <v>200</v>
      </c>
      <c r="T53" s="15"/>
      <c r="U53" s="15"/>
      <c r="V53" s="15"/>
      <c r="W53" s="15">
        <f>X53+Y53</f>
        <v>0</v>
      </c>
      <c r="X53" s="15"/>
      <c r="Y53" s="15"/>
      <c r="Z53" s="15">
        <v>650</v>
      </c>
      <c r="AA53" s="15"/>
      <c r="AB53" s="15">
        <f>AC53+AD53</f>
        <v>0</v>
      </c>
      <c r="AC53" s="15"/>
      <c r="AD53" s="15"/>
      <c r="AE53" s="143">
        <v>0</v>
      </c>
      <c r="AF53" s="15"/>
      <c r="AG53" s="15">
        <v>0</v>
      </c>
      <c r="AH53" s="15">
        <v>0</v>
      </c>
      <c r="AI53" s="15"/>
      <c r="AJ53" s="15"/>
      <c r="AK53" s="15"/>
      <c r="AL53" s="15"/>
      <c r="AM53" s="15"/>
      <c r="AN53" s="15"/>
      <c r="AO53" s="139">
        <f t="shared" si="2"/>
        <v>850</v>
      </c>
      <c r="AP53" s="141">
        <f t="shared" si="3"/>
        <v>150</v>
      </c>
      <c r="AQ53" s="90"/>
      <c r="AR53" s="118"/>
      <c r="AS53" s="7"/>
      <c r="AT53" s="7"/>
      <c r="AU53" s="7">
        <v>1</v>
      </c>
      <c r="AV53" s="7"/>
    </row>
    <row r="54" spans="1:49" s="9" customFormat="1" ht="45">
      <c r="A54" s="101" t="s">
        <v>146</v>
      </c>
      <c r="B54" s="103" t="s">
        <v>143</v>
      </c>
      <c r="C54" s="77"/>
      <c r="D54" s="77"/>
      <c r="E54" s="77"/>
      <c r="F54" s="77"/>
      <c r="G54" s="77"/>
      <c r="H54" s="102"/>
      <c r="I54" s="104">
        <f>I55</f>
        <v>100000</v>
      </c>
      <c r="J54" s="104">
        <f t="shared" ref="J54:AN54" si="26">J55</f>
        <v>99800</v>
      </c>
      <c r="K54" s="104">
        <f t="shared" si="26"/>
        <v>200</v>
      </c>
      <c r="L54" s="104">
        <f t="shared" si="26"/>
        <v>0</v>
      </c>
      <c r="M54" s="104">
        <f t="shared" si="26"/>
        <v>99800</v>
      </c>
      <c r="N54" s="104">
        <f t="shared" si="26"/>
        <v>0</v>
      </c>
      <c r="O54" s="104">
        <f t="shared" si="26"/>
        <v>0</v>
      </c>
      <c r="P54" s="104">
        <f t="shared" si="26"/>
        <v>500</v>
      </c>
      <c r="Q54" s="104">
        <f t="shared" si="26"/>
        <v>500</v>
      </c>
      <c r="R54" s="104">
        <f t="shared" si="26"/>
        <v>500</v>
      </c>
      <c r="S54" s="104">
        <f t="shared" si="26"/>
        <v>0</v>
      </c>
      <c r="T54" s="104">
        <f t="shared" si="26"/>
        <v>500</v>
      </c>
      <c r="U54" s="104">
        <f t="shared" si="26"/>
        <v>1000</v>
      </c>
      <c r="V54" s="104">
        <f t="shared" si="26"/>
        <v>0</v>
      </c>
      <c r="W54" s="104">
        <f t="shared" si="26"/>
        <v>1000</v>
      </c>
      <c r="X54" s="104">
        <f t="shared" si="26"/>
        <v>1000</v>
      </c>
      <c r="Y54" s="104">
        <f t="shared" si="26"/>
        <v>0</v>
      </c>
      <c r="Z54" s="104">
        <f t="shared" si="26"/>
        <v>21948</v>
      </c>
      <c r="AA54" s="104">
        <f t="shared" si="26"/>
        <v>0</v>
      </c>
      <c r="AB54" s="104">
        <f t="shared" si="26"/>
        <v>21307.527242</v>
      </c>
      <c r="AC54" s="104">
        <f t="shared" si="26"/>
        <v>21307.527242</v>
      </c>
      <c r="AD54" s="104">
        <f t="shared" si="26"/>
        <v>0</v>
      </c>
      <c r="AE54" s="104">
        <f t="shared" si="26"/>
        <v>76352</v>
      </c>
      <c r="AF54" s="104">
        <f t="shared" si="26"/>
        <v>0</v>
      </c>
      <c r="AG54" s="104">
        <f t="shared" si="26"/>
        <v>76352</v>
      </c>
      <c r="AH54" s="104">
        <f t="shared" si="26"/>
        <v>76352</v>
      </c>
      <c r="AI54" s="104">
        <f t="shared" si="26"/>
        <v>0</v>
      </c>
      <c r="AJ54" s="104">
        <f t="shared" si="26"/>
        <v>0</v>
      </c>
      <c r="AK54" s="104">
        <f t="shared" si="26"/>
        <v>0</v>
      </c>
      <c r="AL54" s="104">
        <f t="shared" si="26"/>
        <v>0</v>
      </c>
      <c r="AM54" s="104">
        <f t="shared" si="26"/>
        <v>0</v>
      </c>
      <c r="AN54" s="104">
        <f t="shared" si="26"/>
        <v>0</v>
      </c>
      <c r="AO54" s="139">
        <f t="shared" si="2"/>
        <v>99800</v>
      </c>
      <c r="AP54" s="141">
        <f t="shared" si="3"/>
        <v>0</v>
      </c>
      <c r="AQ54" s="90"/>
      <c r="AR54" s="118"/>
      <c r="AS54" s="7"/>
      <c r="AT54" s="7"/>
      <c r="AU54" s="7"/>
      <c r="AV54" s="7"/>
    </row>
    <row r="55" spans="1:49" s="9" customFormat="1" ht="30">
      <c r="A55" s="81" t="s">
        <v>120</v>
      </c>
      <c r="B55" s="82" t="s">
        <v>36</v>
      </c>
      <c r="C55" s="77"/>
      <c r="D55" s="77"/>
      <c r="E55" s="77"/>
      <c r="F55" s="77"/>
      <c r="G55" s="77"/>
      <c r="H55" s="102"/>
      <c r="I55" s="104">
        <f>I57</f>
        <v>100000</v>
      </c>
      <c r="J55" s="104">
        <f t="shared" ref="J55:AN55" si="27">J57</f>
        <v>99800</v>
      </c>
      <c r="K55" s="104">
        <f t="shared" si="27"/>
        <v>200</v>
      </c>
      <c r="L55" s="104">
        <f t="shared" si="27"/>
        <v>0</v>
      </c>
      <c r="M55" s="104">
        <f t="shared" si="27"/>
        <v>99800</v>
      </c>
      <c r="N55" s="104">
        <f t="shared" si="27"/>
        <v>0</v>
      </c>
      <c r="O55" s="104">
        <f t="shared" si="27"/>
        <v>0</v>
      </c>
      <c r="P55" s="104">
        <f t="shared" si="27"/>
        <v>500</v>
      </c>
      <c r="Q55" s="104">
        <f t="shared" si="27"/>
        <v>500</v>
      </c>
      <c r="R55" s="104">
        <f t="shared" si="27"/>
        <v>500</v>
      </c>
      <c r="S55" s="104">
        <f t="shared" si="27"/>
        <v>0</v>
      </c>
      <c r="T55" s="104">
        <f t="shared" si="27"/>
        <v>500</v>
      </c>
      <c r="U55" s="104">
        <f t="shared" si="27"/>
        <v>1000</v>
      </c>
      <c r="V55" s="104">
        <f t="shared" si="27"/>
        <v>0</v>
      </c>
      <c r="W55" s="104">
        <f t="shared" si="27"/>
        <v>1000</v>
      </c>
      <c r="X55" s="104">
        <f t="shared" si="27"/>
        <v>1000</v>
      </c>
      <c r="Y55" s="104">
        <f t="shared" si="27"/>
        <v>0</v>
      </c>
      <c r="Z55" s="104">
        <f t="shared" si="27"/>
        <v>21948</v>
      </c>
      <c r="AA55" s="104">
        <f t="shared" si="27"/>
        <v>0</v>
      </c>
      <c r="AB55" s="104">
        <f t="shared" si="27"/>
        <v>21307.527242</v>
      </c>
      <c r="AC55" s="104">
        <f t="shared" si="27"/>
        <v>21307.527242</v>
      </c>
      <c r="AD55" s="104">
        <f t="shared" si="27"/>
        <v>0</v>
      </c>
      <c r="AE55" s="104">
        <f t="shared" si="27"/>
        <v>76352</v>
      </c>
      <c r="AF55" s="104">
        <f t="shared" si="27"/>
        <v>0</v>
      </c>
      <c r="AG55" s="104">
        <f t="shared" si="27"/>
        <v>76352</v>
      </c>
      <c r="AH55" s="104">
        <f t="shared" si="27"/>
        <v>76352</v>
      </c>
      <c r="AI55" s="104">
        <f t="shared" si="27"/>
        <v>0</v>
      </c>
      <c r="AJ55" s="104">
        <f t="shared" si="27"/>
        <v>0</v>
      </c>
      <c r="AK55" s="104">
        <f t="shared" si="27"/>
        <v>0</v>
      </c>
      <c r="AL55" s="104">
        <f t="shared" si="27"/>
        <v>0</v>
      </c>
      <c r="AM55" s="104">
        <f t="shared" si="27"/>
        <v>0</v>
      </c>
      <c r="AN55" s="104">
        <f t="shared" si="27"/>
        <v>0</v>
      </c>
      <c r="AO55" s="139">
        <f t="shared" si="2"/>
        <v>99800</v>
      </c>
      <c r="AP55" s="141">
        <f t="shared" si="3"/>
        <v>0</v>
      </c>
      <c r="AQ55" s="90"/>
      <c r="AS55" s="7"/>
      <c r="AT55" s="7"/>
      <c r="AU55" s="7"/>
      <c r="AV55" s="7"/>
    </row>
    <row r="56" spans="1:49" s="9" customFormat="1" ht="30">
      <c r="A56" s="85" t="s">
        <v>96</v>
      </c>
      <c r="B56" s="86" t="s">
        <v>123</v>
      </c>
      <c r="C56" s="77"/>
      <c r="D56" s="77"/>
      <c r="E56" s="77"/>
      <c r="F56" s="77"/>
      <c r="G56" s="77"/>
      <c r="H56" s="107"/>
      <c r="I56" s="108">
        <f>I57</f>
        <v>100000</v>
      </c>
      <c r="J56" s="108">
        <f t="shared" ref="J56:AN56" si="28">J57</f>
        <v>99800</v>
      </c>
      <c r="K56" s="108">
        <f t="shared" si="28"/>
        <v>200</v>
      </c>
      <c r="L56" s="108">
        <f t="shared" si="28"/>
        <v>0</v>
      </c>
      <c r="M56" s="108">
        <f t="shared" si="28"/>
        <v>99800</v>
      </c>
      <c r="N56" s="108">
        <f t="shared" si="28"/>
        <v>0</v>
      </c>
      <c r="O56" s="108">
        <f t="shared" si="28"/>
        <v>0</v>
      </c>
      <c r="P56" s="108">
        <f t="shared" si="28"/>
        <v>500</v>
      </c>
      <c r="Q56" s="108">
        <f t="shared" si="28"/>
        <v>500</v>
      </c>
      <c r="R56" s="108">
        <f t="shared" si="28"/>
        <v>500</v>
      </c>
      <c r="S56" s="108">
        <f t="shared" si="28"/>
        <v>0</v>
      </c>
      <c r="T56" s="108">
        <f t="shared" si="28"/>
        <v>500</v>
      </c>
      <c r="U56" s="108">
        <f t="shared" si="28"/>
        <v>1000</v>
      </c>
      <c r="V56" s="108">
        <f t="shared" si="28"/>
        <v>0</v>
      </c>
      <c r="W56" s="108">
        <f t="shared" si="28"/>
        <v>1000</v>
      </c>
      <c r="X56" s="108">
        <f t="shared" si="28"/>
        <v>1000</v>
      </c>
      <c r="Y56" s="108">
        <f t="shared" si="28"/>
        <v>0</v>
      </c>
      <c r="Z56" s="108">
        <f t="shared" si="28"/>
        <v>21948</v>
      </c>
      <c r="AA56" s="108">
        <f t="shared" si="28"/>
        <v>0</v>
      </c>
      <c r="AB56" s="108">
        <f t="shared" si="28"/>
        <v>21307.527242</v>
      </c>
      <c r="AC56" s="108">
        <f t="shared" si="28"/>
        <v>21307.527242</v>
      </c>
      <c r="AD56" s="108">
        <f t="shared" si="28"/>
        <v>0</v>
      </c>
      <c r="AE56" s="108">
        <f t="shared" si="28"/>
        <v>76352</v>
      </c>
      <c r="AF56" s="108">
        <f t="shared" si="28"/>
        <v>0</v>
      </c>
      <c r="AG56" s="108">
        <f t="shared" si="28"/>
        <v>76352</v>
      </c>
      <c r="AH56" s="108">
        <f t="shared" si="28"/>
        <v>76352</v>
      </c>
      <c r="AI56" s="108">
        <f t="shared" si="28"/>
        <v>0</v>
      </c>
      <c r="AJ56" s="108">
        <f t="shared" si="28"/>
        <v>0</v>
      </c>
      <c r="AK56" s="108">
        <f t="shared" si="28"/>
        <v>0</v>
      </c>
      <c r="AL56" s="108">
        <f t="shared" si="28"/>
        <v>0</v>
      </c>
      <c r="AM56" s="108">
        <f t="shared" si="28"/>
        <v>0</v>
      </c>
      <c r="AN56" s="108">
        <f t="shared" si="28"/>
        <v>0</v>
      </c>
      <c r="AO56" s="139">
        <f t="shared" si="2"/>
        <v>99800</v>
      </c>
      <c r="AP56" s="141">
        <f t="shared" si="3"/>
        <v>0</v>
      </c>
      <c r="AQ56" s="90"/>
      <c r="AS56" s="7"/>
      <c r="AT56" s="7"/>
      <c r="AU56" s="7"/>
      <c r="AV56" s="7"/>
    </row>
    <row r="57" spans="1:49" s="9" customFormat="1" ht="80.25" customHeight="1">
      <c r="A57" s="119" t="s">
        <v>144</v>
      </c>
      <c r="B57" s="88" t="s">
        <v>145</v>
      </c>
      <c r="C57" s="77" t="s">
        <v>38</v>
      </c>
      <c r="D57" s="77" t="s">
        <v>231</v>
      </c>
      <c r="E57" s="77">
        <v>2022</v>
      </c>
      <c r="F57" s="77">
        <v>2025</v>
      </c>
      <c r="G57" s="77" t="s">
        <v>256</v>
      </c>
      <c r="H57" s="91" t="s">
        <v>301</v>
      </c>
      <c r="I57" s="105">
        <v>100000</v>
      </c>
      <c r="J57" s="105">
        <f>I57-200</f>
        <v>99800</v>
      </c>
      <c r="K57" s="105">
        <v>200</v>
      </c>
      <c r="L57" s="105"/>
      <c r="M57" s="105">
        <v>99800</v>
      </c>
      <c r="N57" s="105"/>
      <c r="O57" s="120"/>
      <c r="P57" s="16">
        <v>500</v>
      </c>
      <c r="Q57" s="16">
        <v>500</v>
      </c>
      <c r="R57" s="15">
        <f>S57+T57</f>
        <v>500</v>
      </c>
      <c r="S57" s="16"/>
      <c r="T57" s="16">
        <v>500</v>
      </c>
      <c r="U57" s="16">
        <v>1000</v>
      </c>
      <c r="V57" s="16"/>
      <c r="W57" s="15">
        <f>X57+Y57</f>
        <v>1000</v>
      </c>
      <c r="X57" s="16">
        <v>1000</v>
      </c>
      <c r="Y57" s="16"/>
      <c r="Z57" s="16">
        <v>21948</v>
      </c>
      <c r="AA57" s="16"/>
      <c r="AB57" s="15">
        <f>AC57+AD57</f>
        <v>21307.527242</v>
      </c>
      <c r="AC57" s="16">
        <v>21307.527242</v>
      </c>
      <c r="AD57" s="16"/>
      <c r="AE57" s="144">
        <v>76352</v>
      </c>
      <c r="AF57" s="90"/>
      <c r="AG57" s="144">
        <v>76352</v>
      </c>
      <c r="AH57" s="144">
        <v>76352</v>
      </c>
      <c r="AI57" s="90"/>
      <c r="AJ57" s="90"/>
      <c r="AK57" s="90"/>
      <c r="AL57" s="90"/>
      <c r="AM57" s="90"/>
      <c r="AN57" s="90"/>
      <c r="AO57" s="139">
        <f t="shared" si="2"/>
        <v>99800</v>
      </c>
      <c r="AP57" s="141">
        <f t="shared" si="3"/>
        <v>0</v>
      </c>
      <c r="AQ57" s="98"/>
      <c r="AS57" s="7"/>
      <c r="AT57" s="7">
        <v>1</v>
      </c>
      <c r="AU57" s="7"/>
      <c r="AV57" s="7"/>
    </row>
    <row r="58" spans="1:49" s="9" customFormat="1" ht="30">
      <c r="A58" s="101" t="s">
        <v>149</v>
      </c>
      <c r="B58" s="103" t="s">
        <v>147</v>
      </c>
      <c r="C58" s="77"/>
      <c r="D58" s="77"/>
      <c r="E58" s="77"/>
      <c r="F58" s="77"/>
      <c r="G58" s="77"/>
      <c r="H58" s="102"/>
      <c r="I58" s="104">
        <f>I59</f>
        <v>195000</v>
      </c>
      <c r="J58" s="104">
        <f t="shared" ref="J58:AN58" si="29">J59</f>
        <v>50000</v>
      </c>
      <c r="K58" s="104">
        <f t="shared" si="29"/>
        <v>0</v>
      </c>
      <c r="L58" s="104">
        <f t="shared" si="29"/>
        <v>0</v>
      </c>
      <c r="M58" s="104">
        <f t="shared" si="29"/>
        <v>50000</v>
      </c>
      <c r="N58" s="104">
        <f t="shared" si="29"/>
        <v>0</v>
      </c>
      <c r="O58" s="104">
        <f t="shared" si="29"/>
        <v>0</v>
      </c>
      <c r="P58" s="104">
        <f t="shared" si="29"/>
        <v>0</v>
      </c>
      <c r="Q58" s="104">
        <f t="shared" si="29"/>
        <v>0</v>
      </c>
      <c r="R58" s="104">
        <f t="shared" si="29"/>
        <v>0</v>
      </c>
      <c r="S58" s="104">
        <f t="shared" si="29"/>
        <v>0</v>
      </c>
      <c r="T58" s="104">
        <f t="shared" si="29"/>
        <v>0</v>
      </c>
      <c r="U58" s="104">
        <f t="shared" si="29"/>
        <v>524</v>
      </c>
      <c r="V58" s="104">
        <f t="shared" si="29"/>
        <v>0</v>
      </c>
      <c r="W58" s="104">
        <f t="shared" si="29"/>
        <v>346.48599999999999</v>
      </c>
      <c r="X58" s="104">
        <f t="shared" si="29"/>
        <v>346.48599999999999</v>
      </c>
      <c r="Y58" s="104">
        <f t="shared" si="29"/>
        <v>0</v>
      </c>
      <c r="Z58" s="104">
        <f t="shared" si="29"/>
        <v>11400</v>
      </c>
      <c r="AA58" s="104">
        <f t="shared" si="29"/>
        <v>0</v>
      </c>
      <c r="AB58" s="104">
        <f t="shared" si="29"/>
        <v>11400</v>
      </c>
      <c r="AC58" s="104">
        <f t="shared" si="29"/>
        <v>11400</v>
      </c>
      <c r="AD58" s="104">
        <f t="shared" si="29"/>
        <v>0</v>
      </c>
      <c r="AE58" s="104">
        <f t="shared" si="29"/>
        <v>954.08799999999997</v>
      </c>
      <c r="AF58" s="104">
        <f t="shared" si="29"/>
        <v>0</v>
      </c>
      <c r="AG58" s="104">
        <f t="shared" si="29"/>
        <v>954.08799999999997</v>
      </c>
      <c r="AH58" s="104">
        <f t="shared" si="29"/>
        <v>954.08799999999997</v>
      </c>
      <c r="AI58" s="104">
        <f t="shared" si="29"/>
        <v>0</v>
      </c>
      <c r="AJ58" s="104">
        <f t="shared" si="29"/>
        <v>37121.911999999997</v>
      </c>
      <c r="AK58" s="104">
        <f t="shared" si="29"/>
        <v>0</v>
      </c>
      <c r="AL58" s="104">
        <f t="shared" si="29"/>
        <v>0</v>
      </c>
      <c r="AM58" s="104">
        <f t="shared" si="29"/>
        <v>0</v>
      </c>
      <c r="AN58" s="104">
        <f t="shared" si="29"/>
        <v>0</v>
      </c>
      <c r="AO58" s="139">
        <f t="shared" si="2"/>
        <v>12878.088</v>
      </c>
      <c r="AP58" s="141">
        <f t="shared" si="3"/>
        <v>37121.911999999997</v>
      </c>
      <c r="AQ58" s="90"/>
      <c r="AS58" s="7"/>
      <c r="AT58" s="7"/>
      <c r="AU58" s="7"/>
      <c r="AV58" s="7"/>
    </row>
    <row r="59" spans="1:49" s="9" customFormat="1" ht="30">
      <c r="A59" s="81" t="s">
        <v>120</v>
      </c>
      <c r="B59" s="82" t="s">
        <v>36</v>
      </c>
      <c r="C59" s="77"/>
      <c r="D59" s="77"/>
      <c r="E59" s="77"/>
      <c r="F59" s="77"/>
      <c r="G59" s="77"/>
      <c r="H59" s="102"/>
      <c r="I59" s="104">
        <f>I61</f>
        <v>195000</v>
      </c>
      <c r="J59" s="104">
        <f t="shared" ref="J59:AN59" si="30">J61</f>
        <v>50000</v>
      </c>
      <c r="K59" s="104">
        <f t="shared" si="30"/>
        <v>0</v>
      </c>
      <c r="L59" s="104">
        <f t="shared" si="30"/>
        <v>0</v>
      </c>
      <c r="M59" s="104">
        <f t="shared" si="30"/>
        <v>50000</v>
      </c>
      <c r="N59" s="104">
        <f t="shared" si="30"/>
        <v>0</v>
      </c>
      <c r="O59" s="104">
        <f t="shared" si="30"/>
        <v>0</v>
      </c>
      <c r="P59" s="104">
        <f t="shared" si="30"/>
        <v>0</v>
      </c>
      <c r="Q59" s="104">
        <f t="shared" si="30"/>
        <v>0</v>
      </c>
      <c r="R59" s="104">
        <f t="shared" si="30"/>
        <v>0</v>
      </c>
      <c r="S59" s="104">
        <f t="shared" si="30"/>
        <v>0</v>
      </c>
      <c r="T59" s="104">
        <f t="shared" si="30"/>
        <v>0</v>
      </c>
      <c r="U59" s="104">
        <f t="shared" si="30"/>
        <v>524</v>
      </c>
      <c r="V59" s="104">
        <f t="shared" si="30"/>
        <v>0</v>
      </c>
      <c r="W59" s="104">
        <f t="shared" si="30"/>
        <v>346.48599999999999</v>
      </c>
      <c r="X59" s="104">
        <f t="shared" si="30"/>
        <v>346.48599999999999</v>
      </c>
      <c r="Y59" s="104">
        <f t="shared" si="30"/>
        <v>0</v>
      </c>
      <c r="Z59" s="104">
        <f t="shared" si="30"/>
        <v>11400</v>
      </c>
      <c r="AA59" s="104">
        <f t="shared" si="30"/>
        <v>0</v>
      </c>
      <c r="AB59" s="104">
        <f t="shared" si="30"/>
        <v>11400</v>
      </c>
      <c r="AC59" s="104">
        <f t="shared" si="30"/>
        <v>11400</v>
      </c>
      <c r="AD59" s="104">
        <f t="shared" si="30"/>
        <v>0</v>
      </c>
      <c r="AE59" s="104">
        <f t="shared" si="30"/>
        <v>954.08799999999997</v>
      </c>
      <c r="AF59" s="104">
        <f t="shared" si="30"/>
        <v>0</v>
      </c>
      <c r="AG59" s="104">
        <f t="shared" si="30"/>
        <v>954.08799999999997</v>
      </c>
      <c r="AH59" s="104">
        <f t="shared" si="30"/>
        <v>954.08799999999997</v>
      </c>
      <c r="AI59" s="104">
        <f t="shared" si="30"/>
        <v>0</v>
      </c>
      <c r="AJ59" s="104">
        <f t="shared" si="30"/>
        <v>37121.911999999997</v>
      </c>
      <c r="AK59" s="104">
        <f t="shared" si="30"/>
        <v>0</v>
      </c>
      <c r="AL59" s="104">
        <f t="shared" si="30"/>
        <v>0</v>
      </c>
      <c r="AM59" s="104">
        <f t="shared" si="30"/>
        <v>0</v>
      </c>
      <c r="AN59" s="104">
        <f t="shared" si="30"/>
        <v>0</v>
      </c>
      <c r="AO59" s="139">
        <f t="shared" si="2"/>
        <v>12878.088</v>
      </c>
      <c r="AP59" s="141">
        <f t="shared" si="3"/>
        <v>37121.911999999997</v>
      </c>
      <c r="AQ59" s="90"/>
      <c r="AS59" s="7"/>
      <c r="AT59" s="7"/>
      <c r="AU59" s="7"/>
      <c r="AV59" s="7"/>
    </row>
    <row r="60" spans="1:49" s="9" customFormat="1" ht="30">
      <c r="A60" s="85" t="s">
        <v>96</v>
      </c>
      <c r="B60" s="86" t="s">
        <v>123</v>
      </c>
      <c r="C60" s="77"/>
      <c r="D60" s="77"/>
      <c r="E60" s="77"/>
      <c r="F60" s="77"/>
      <c r="G60" s="77"/>
      <c r="H60" s="107"/>
      <c r="I60" s="108">
        <f>I61</f>
        <v>195000</v>
      </c>
      <c r="J60" s="108">
        <f t="shared" ref="J60:AN60" si="31">J61</f>
        <v>50000</v>
      </c>
      <c r="K60" s="108">
        <f t="shared" si="31"/>
        <v>0</v>
      </c>
      <c r="L60" s="108">
        <f t="shared" si="31"/>
        <v>0</v>
      </c>
      <c r="M60" s="108">
        <f t="shared" si="31"/>
        <v>50000</v>
      </c>
      <c r="N60" s="108">
        <f t="shared" si="31"/>
        <v>0</v>
      </c>
      <c r="O60" s="108">
        <f t="shared" si="31"/>
        <v>0</v>
      </c>
      <c r="P60" s="108">
        <f t="shared" si="31"/>
        <v>0</v>
      </c>
      <c r="Q60" s="108">
        <f t="shared" si="31"/>
        <v>0</v>
      </c>
      <c r="R60" s="108">
        <f t="shared" si="31"/>
        <v>0</v>
      </c>
      <c r="S60" s="108">
        <f t="shared" si="31"/>
        <v>0</v>
      </c>
      <c r="T60" s="108">
        <f t="shared" si="31"/>
        <v>0</v>
      </c>
      <c r="U60" s="108">
        <f t="shared" si="31"/>
        <v>524</v>
      </c>
      <c r="V60" s="108">
        <f t="shared" si="31"/>
        <v>0</v>
      </c>
      <c r="W60" s="108">
        <f t="shared" si="31"/>
        <v>346.48599999999999</v>
      </c>
      <c r="X60" s="108">
        <f t="shared" si="31"/>
        <v>346.48599999999999</v>
      </c>
      <c r="Y60" s="108">
        <f t="shared" si="31"/>
        <v>0</v>
      </c>
      <c r="Z60" s="108">
        <f t="shared" si="31"/>
        <v>11400</v>
      </c>
      <c r="AA60" s="108">
        <f t="shared" si="31"/>
        <v>0</v>
      </c>
      <c r="AB60" s="108">
        <f t="shared" si="31"/>
        <v>11400</v>
      </c>
      <c r="AC60" s="108">
        <f t="shared" si="31"/>
        <v>11400</v>
      </c>
      <c r="AD60" s="108">
        <f t="shared" si="31"/>
        <v>0</v>
      </c>
      <c r="AE60" s="108">
        <f t="shared" si="31"/>
        <v>954.08799999999997</v>
      </c>
      <c r="AF60" s="108">
        <f t="shared" si="31"/>
        <v>0</v>
      </c>
      <c r="AG60" s="108">
        <f t="shared" si="31"/>
        <v>954.08799999999997</v>
      </c>
      <c r="AH60" s="108">
        <f t="shared" si="31"/>
        <v>954.08799999999997</v>
      </c>
      <c r="AI60" s="108">
        <f t="shared" si="31"/>
        <v>0</v>
      </c>
      <c r="AJ60" s="108">
        <f t="shared" si="31"/>
        <v>37121.911999999997</v>
      </c>
      <c r="AK60" s="108">
        <f t="shared" si="31"/>
        <v>0</v>
      </c>
      <c r="AL60" s="108">
        <f t="shared" si="31"/>
        <v>0</v>
      </c>
      <c r="AM60" s="108">
        <f t="shared" si="31"/>
        <v>0</v>
      </c>
      <c r="AN60" s="108">
        <f t="shared" si="31"/>
        <v>0</v>
      </c>
      <c r="AO60" s="139">
        <f t="shared" si="2"/>
        <v>12878.088</v>
      </c>
      <c r="AP60" s="141">
        <f t="shared" si="3"/>
        <v>37121.911999999997</v>
      </c>
      <c r="AQ60" s="90"/>
      <c r="AS60" s="7"/>
      <c r="AT60" s="7"/>
      <c r="AU60" s="7"/>
      <c r="AV60" s="7"/>
    </row>
    <row r="61" spans="1:49" s="9" customFormat="1" ht="46.15">
      <c r="A61" s="119" t="s">
        <v>144</v>
      </c>
      <c r="B61" s="88" t="s">
        <v>148</v>
      </c>
      <c r="C61" s="77" t="s">
        <v>38</v>
      </c>
      <c r="D61" s="77" t="s">
        <v>231</v>
      </c>
      <c r="E61" s="77">
        <v>2023</v>
      </c>
      <c r="F61" s="77">
        <v>2025</v>
      </c>
      <c r="G61" s="77" t="s">
        <v>257</v>
      </c>
      <c r="H61" s="91" t="s">
        <v>302</v>
      </c>
      <c r="I61" s="105">
        <v>195000</v>
      </c>
      <c r="J61" s="105">
        <v>50000</v>
      </c>
      <c r="K61" s="105"/>
      <c r="L61" s="105"/>
      <c r="M61" s="105">
        <v>50000</v>
      </c>
      <c r="N61" s="105"/>
      <c r="O61" s="105"/>
      <c r="P61" s="15"/>
      <c r="Q61" s="15"/>
      <c r="R61" s="15">
        <f>S61+T61</f>
        <v>0</v>
      </c>
      <c r="S61" s="15"/>
      <c r="T61" s="15"/>
      <c r="U61" s="15">
        <v>524</v>
      </c>
      <c r="V61" s="15"/>
      <c r="W61" s="15">
        <f>X61+Y61</f>
        <v>346.48599999999999</v>
      </c>
      <c r="X61" s="15">
        <v>346.48599999999999</v>
      </c>
      <c r="Y61" s="15"/>
      <c r="Z61" s="15">
        <v>11400</v>
      </c>
      <c r="AA61" s="15"/>
      <c r="AB61" s="15">
        <f>AC61+AD61</f>
        <v>11400</v>
      </c>
      <c r="AC61" s="15">
        <v>11400</v>
      </c>
      <c r="AD61" s="15"/>
      <c r="AE61" s="143">
        <v>954.08799999999997</v>
      </c>
      <c r="AF61" s="90"/>
      <c r="AG61" s="15">
        <v>954.08799999999997</v>
      </c>
      <c r="AH61" s="15">
        <v>954.08799999999997</v>
      </c>
      <c r="AI61" s="15"/>
      <c r="AJ61" s="15">
        <v>37121.911999999997</v>
      </c>
      <c r="AK61" s="15"/>
      <c r="AL61" s="15"/>
      <c r="AM61" s="15"/>
      <c r="AN61" s="15"/>
      <c r="AO61" s="139">
        <f t="shared" si="2"/>
        <v>12878.088</v>
      </c>
      <c r="AP61" s="141">
        <f t="shared" si="3"/>
        <v>37121.911999999997</v>
      </c>
      <c r="AQ61" s="90"/>
      <c r="AS61" s="7"/>
      <c r="AT61" s="7">
        <v>1</v>
      </c>
      <c r="AU61" s="7"/>
      <c r="AV61" s="7"/>
    </row>
    <row r="62" spans="1:49" s="9" customFormat="1" ht="30">
      <c r="A62" s="101" t="s">
        <v>153</v>
      </c>
      <c r="B62" s="103" t="s">
        <v>150</v>
      </c>
      <c r="C62" s="77"/>
      <c r="D62" s="77"/>
      <c r="E62" s="77"/>
      <c r="F62" s="77"/>
      <c r="G62" s="77"/>
      <c r="H62" s="102"/>
      <c r="I62" s="104">
        <f>I63</f>
        <v>1231028</v>
      </c>
      <c r="J62" s="104">
        <f t="shared" ref="J62:AN63" si="32">J63</f>
        <v>525028</v>
      </c>
      <c r="K62" s="104">
        <f t="shared" si="32"/>
        <v>0</v>
      </c>
      <c r="L62" s="104">
        <f t="shared" si="32"/>
        <v>0</v>
      </c>
      <c r="M62" s="104">
        <f t="shared" si="32"/>
        <v>525028</v>
      </c>
      <c r="N62" s="104">
        <f t="shared" si="32"/>
        <v>0</v>
      </c>
      <c r="O62" s="104">
        <f t="shared" si="32"/>
        <v>0</v>
      </c>
      <c r="P62" s="104">
        <f t="shared" si="32"/>
        <v>145148</v>
      </c>
      <c r="Q62" s="104">
        <f t="shared" si="32"/>
        <v>0</v>
      </c>
      <c r="R62" s="104">
        <f t="shared" si="32"/>
        <v>145148</v>
      </c>
      <c r="S62" s="104">
        <f t="shared" si="32"/>
        <v>145148</v>
      </c>
      <c r="T62" s="104">
        <f t="shared" si="32"/>
        <v>0</v>
      </c>
      <c r="U62" s="104">
        <f t="shared" si="32"/>
        <v>132122</v>
      </c>
      <c r="V62" s="104">
        <f t="shared" si="32"/>
        <v>46741.101999999999</v>
      </c>
      <c r="W62" s="104">
        <f t="shared" si="32"/>
        <v>132121.58199999999</v>
      </c>
      <c r="X62" s="104">
        <f t="shared" si="32"/>
        <v>85380.898000000001</v>
      </c>
      <c r="Y62" s="104">
        <f t="shared" si="32"/>
        <v>46740.684000000001</v>
      </c>
      <c r="Z62" s="104">
        <f t="shared" si="32"/>
        <v>80000</v>
      </c>
      <c r="AA62" s="104">
        <f t="shared" si="32"/>
        <v>925.91100000000006</v>
      </c>
      <c r="AB62" s="104">
        <f t="shared" si="32"/>
        <v>65726.060408999998</v>
      </c>
      <c r="AC62" s="104">
        <f t="shared" si="32"/>
        <v>64800.149408999998</v>
      </c>
      <c r="AD62" s="104">
        <f t="shared" si="32"/>
        <v>925.91100000000006</v>
      </c>
      <c r="AE62" s="104">
        <f t="shared" si="32"/>
        <v>38435</v>
      </c>
      <c r="AF62" s="104">
        <f t="shared" si="32"/>
        <v>0</v>
      </c>
      <c r="AG62" s="104">
        <f t="shared" si="32"/>
        <v>38435</v>
      </c>
      <c r="AH62" s="104">
        <f t="shared" si="32"/>
        <v>38435</v>
      </c>
      <c r="AI62" s="104">
        <f t="shared" si="32"/>
        <v>0</v>
      </c>
      <c r="AJ62" s="104">
        <f t="shared" si="32"/>
        <v>129323</v>
      </c>
      <c r="AK62" s="104">
        <f t="shared" si="32"/>
        <v>0</v>
      </c>
      <c r="AL62" s="104">
        <f t="shared" si="32"/>
        <v>0</v>
      </c>
      <c r="AM62" s="104">
        <f t="shared" si="32"/>
        <v>0</v>
      </c>
      <c r="AN62" s="104">
        <f t="shared" si="32"/>
        <v>0</v>
      </c>
      <c r="AO62" s="139">
        <f t="shared" si="2"/>
        <v>395705</v>
      </c>
      <c r="AP62" s="141">
        <f t="shared" si="3"/>
        <v>129323</v>
      </c>
      <c r="AQ62" s="90"/>
      <c r="AS62" s="7"/>
      <c r="AT62" s="7"/>
      <c r="AU62" s="7"/>
      <c r="AV62" s="7"/>
      <c r="AW62" s="9">
        <f>M62/$M$14*100</f>
        <v>7.7326905772764256</v>
      </c>
    </row>
    <row r="63" spans="1:49" s="9" customFormat="1" ht="30">
      <c r="A63" s="81" t="s">
        <v>120</v>
      </c>
      <c r="B63" s="82" t="s">
        <v>36</v>
      </c>
      <c r="C63" s="77"/>
      <c r="D63" s="77"/>
      <c r="E63" s="77"/>
      <c r="F63" s="77"/>
      <c r="G63" s="77"/>
      <c r="H63" s="102"/>
      <c r="I63" s="104">
        <f>I64</f>
        <v>1231028</v>
      </c>
      <c r="J63" s="104">
        <f t="shared" si="32"/>
        <v>525028</v>
      </c>
      <c r="K63" s="104">
        <f t="shared" si="32"/>
        <v>0</v>
      </c>
      <c r="L63" s="104">
        <f t="shared" si="32"/>
        <v>0</v>
      </c>
      <c r="M63" s="104">
        <f t="shared" si="32"/>
        <v>525028</v>
      </c>
      <c r="N63" s="104">
        <f t="shared" si="32"/>
        <v>0</v>
      </c>
      <c r="O63" s="104">
        <f t="shared" si="32"/>
        <v>0</v>
      </c>
      <c r="P63" s="104">
        <f t="shared" si="32"/>
        <v>145148</v>
      </c>
      <c r="Q63" s="104">
        <f t="shared" si="32"/>
        <v>0</v>
      </c>
      <c r="R63" s="104">
        <f t="shared" si="32"/>
        <v>145148</v>
      </c>
      <c r="S63" s="104">
        <f t="shared" si="32"/>
        <v>145148</v>
      </c>
      <c r="T63" s="104">
        <f t="shared" si="32"/>
        <v>0</v>
      </c>
      <c r="U63" s="104">
        <f t="shared" si="32"/>
        <v>132122</v>
      </c>
      <c r="V63" s="104">
        <f t="shared" si="32"/>
        <v>46741.101999999999</v>
      </c>
      <c r="W63" s="104">
        <f t="shared" si="32"/>
        <v>132121.58199999999</v>
      </c>
      <c r="X63" s="104">
        <f t="shared" si="32"/>
        <v>85380.898000000001</v>
      </c>
      <c r="Y63" s="104">
        <f t="shared" si="32"/>
        <v>46740.684000000001</v>
      </c>
      <c r="Z63" s="104">
        <f t="shared" si="32"/>
        <v>80000</v>
      </c>
      <c r="AA63" s="104">
        <f t="shared" si="32"/>
        <v>925.91100000000006</v>
      </c>
      <c r="AB63" s="104">
        <f t="shared" si="32"/>
        <v>65726.060408999998</v>
      </c>
      <c r="AC63" s="104">
        <f t="shared" si="32"/>
        <v>64800.149408999998</v>
      </c>
      <c r="AD63" s="104">
        <f t="shared" si="32"/>
        <v>925.91100000000006</v>
      </c>
      <c r="AE63" s="104">
        <f t="shared" si="32"/>
        <v>38435</v>
      </c>
      <c r="AF63" s="104">
        <f t="shared" si="32"/>
        <v>0</v>
      </c>
      <c r="AG63" s="104">
        <f t="shared" si="32"/>
        <v>38435</v>
      </c>
      <c r="AH63" s="104">
        <f t="shared" si="32"/>
        <v>38435</v>
      </c>
      <c r="AI63" s="104">
        <f t="shared" si="32"/>
        <v>0</v>
      </c>
      <c r="AJ63" s="104">
        <f t="shared" si="32"/>
        <v>129323</v>
      </c>
      <c r="AK63" s="104">
        <f t="shared" si="32"/>
        <v>0</v>
      </c>
      <c r="AL63" s="104">
        <f t="shared" si="32"/>
        <v>0</v>
      </c>
      <c r="AM63" s="104">
        <f t="shared" si="32"/>
        <v>0</v>
      </c>
      <c r="AN63" s="104">
        <f t="shared" si="32"/>
        <v>0</v>
      </c>
      <c r="AO63" s="139">
        <f t="shared" si="2"/>
        <v>395705</v>
      </c>
      <c r="AP63" s="141">
        <f t="shared" si="3"/>
        <v>129323</v>
      </c>
      <c r="AQ63" s="90"/>
      <c r="AS63" s="7"/>
      <c r="AT63" s="7"/>
      <c r="AU63" s="7"/>
      <c r="AV63" s="7"/>
    </row>
    <row r="64" spans="1:49" s="9" customFormat="1" ht="30">
      <c r="A64" s="85" t="s">
        <v>96</v>
      </c>
      <c r="B64" s="86" t="s">
        <v>123</v>
      </c>
      <c r="C64" s="77"/>
      <c r="D64" s="77"/>
      <c r="E64" s="77"/>
      <c r="F64" s="77"/>
      <c r="G64" s="77"/>
      <c r="H64" s="107"/>
      <c r="I64" s="108">
        <f>SUM(I65:I66)</f>
        <v>1231028</v>
      </c>
      <c r="J64" s="108">
        <f t="shared" ref="J64:AN64" si="33">SUM(J65:J66)</f>
        <v>525028</v>
      </c>
      <c r="K64" s="108">
        <f t="shared" si="33"/>
        <v>0</v>
      </c>
      <c r="L64" s="108">
        <f t="shared" si="33"/>
        <v>0</v>
      </c>
      <c r="M64" s="108">
        <f t="shared" si="33"/>
        <v>525028</v>
      </c>
      <c r="N64" s="108">
        <f t="shared" si="33"/>
        <v>0</v>
      </c>
      <c r="O64" s="108">
        <f t="shared" si="33"/>
        <v>0</v>
      </c>
      <c r="P64" s="108">
        <f t="shared" si="33"/>
        <v>145148</v>
      </c>
      <c r="Q64" s="108">
        <f t="shared" si="33"/>
        <v>0</v>
      </c>
      <c r="R64" s="108">
        <f t="shared" si="33"/>
        <v>145148</v>
      </c>
      <c r="S64" s="108">
        <f t="shared" si="33"/>
        <v>145148</v>
      </c>
      <c r="T64" s="108">
        <f t="shared" si="33"/>
        <v>0</v>
      </c>
      <c r="U64" s="108">
        <f t="shared" si="33"/>
        <v>132122</v>
      </c>
      <c r="V64" s="108">
        <f t="shared" si="33"/>
        <v>46741.101999999999</v>
      </c>
      <c r="W64" s="108">
        <f t="shared" si="33"/>
        <v>132121.58199999999</v>
      </c>
      <c r="X64" s="108">
        <f t="shared" si="33"/>
        <v>85380.898000000001</v>
      </c>
      <c r="Y64" s="108">
        <f t="shared" si="33"/>
        <v>46740.684000000001</v>
      </c>
      <c r="Z64" s="108">
        <f t="shared" si="33"/>
        <v>80000</v>
      </c>
      <c r="AA64" s="108">
        <f t="shared" si="33"/>
        <v>925.91100000000006</v>
      </c>
      <c r="AB64" s="108">
        <f t="shared" si="33"/>
        <v>65726.060408999998</v>
      </c>
      <c r="AC64" s="108">
        <f t="shared" si="33"/>
        <v>64800.149408999998</v>
      </c>
      <c r="AD64" s="108">
        <f t="shared" si="33"/>
        <v>925.91100000000006</v>
      </c>
      <c r="AE64" s="108">
        <f t="shared" si="33"/>
        <v>38435</v>
      </c>
      <c r="AF64" s="108">
        <f t="shared" si="33"/>
        <v>0</v>
      </c>
      <c r="AG64" s="108">
        <f t="shared" si="33"/>
        <v>38435</v>
      </c>
      <c r="AH64" s="108">
        <f t="shared" si="33"/>
        <v>38435</v>
      </c>
      <c r="AI64" s="108">
        <f t="shared" si="33"/>
        <v>0</v>
      </c>
      <c r="AJ64" s="108">
        <f t="shared" si="33"/>
        <v>129323</v>
      </c>
      <c r="AK64" s="108">
        <f t="shared" si="33"/>
        <v>0</v>
      </c>
      <c r="AL64" s="108">
        <f t="shared" si="33"/>
        <v>0</v>
      </c>
      <c r="AM64" s="108">
        <f t="shared" si="33"/>
        <v>0</v>
      </c>
      <c r="AN64" s="108">
        <f t="shared" si="33"/>
        <v>0</v>
      </c>
      <c r="AO64" s="139">
        <f t="shared" si="2"/>
        <v>395705</v>
      </c>
      <c r="AP64" s="141">
        <f t="shared" si="3"/>
        <v>129323</v>
      </c>
      <c r="AQ64" s="90"/>
      <c r="AS64" s="7"/>
      <c r="AT64" s="7"/>
      <c r="AU64" s="7"/>
      <c r="AV64" s="7"/>
    </row>
    <row r="65" spans="1:50" s="9" customFormat="1" ht="61.5">
      <c r="A65" s="121" t="s">
        <v>144</v>
      </c>
      <c r="B65" s="96" t="s">
        <v>151</v>
      </c>
      <c r="C65" s="77" t="s">
        <v>38</v>
      </c>
      <c r="D65" s="77" t="s">
        <v>229</v>
      </c>
      <c r="E65" s="77">
        <v>2022</v>
      </c>
      <c r="F65" s="77">
        <v>2025</v>
      </c>
      <c r="G65" s="77" t="s">
        <v>258</v>
      </c>
      <c r="H65" s="91" t="s">
        <v>303</v>
      </c>
      <c r="I65" s="105">
        <v>981028</v>
      </c>
      <c r="J65" s="105">
        <v>275028</v>
      </c>
      <c r="K65" s="105"/>
      <c r="L65" s="105"/>
      <c r="M65" s="105">
        <v>275028</v>
      </c>
      <c r="N65" s="105"/>
      <c r="O65" s="105"/>
      <c r="P65" s="105">
        <v>10000</v>
      </c>
      <c r="Q65" s="105"/>
      <c r="R65" s="15">
        <f>S65+T65</f>
        <v>10000</v>
      </c>
      <c r="S65" s="105">
        <v>10000</v>
      </c>
      <c r="T65" s="105"/>
      <c r="U65" s="105">
        <v>72122</v>
      </c>
      <c r="V65" s="105">
        <v>44293.684000000001</v>
      </c>
      <c r="W65" s="15">
        <f>X65+Y65</f>
        <v>72122</v>
      </c>
      <c r="X65" s="105">
        <v>27828.315999999999</v>
      </c>
      <c r="Y65" s="105">
        <v>44293.684000000001</v>
      </c>
      <c r="Z65" s="105">
        <v>60000</v>
      </c>
      <c r="AA65" s="105"/>
      <c r="AB65" s="15">
        <f>AC65+AD65</f>
        <v>45726.060408999998</v>
      </c>
      <c r="AC65" s="105">
        <v>45726.060408999998</v>
      </c>
      <c r="AD65" s="105"/>
      <c r="AE65" s="105">
        <v>3583</v>
      </c>
      <c r="AF65" s="90"/>
      <c r="AG65" s="105">
        <v>3583</v>
      </c>
      <c r="AH65" s="105">
        <v>3583</v>
      </c>
      <c r="AI65" s="90"/>
      <c r="AJ65" s="105">
        <v>129323</v>
      </c>
      <c r="AK65" s="105"/>
      <c r="AL65" s="105"/>
      <c r="AM65" s="105"/>
      <c r="AN65" s="105"/>
      <c r="AO65" s="139">
        <f t="shared" si="2"/>
        <v>145705</v>
      </c>
      <c r="AP65" s="141">
        <f t="shared" si="3"/>
        <v>129323</v>
      </c>
      <c r="AQ65" s="90" t="s">
        <v>352</v>
      </c>
      <c r="AR65" s="122" t="s">
        <v>353</v>
      </c>
      <c r="AS65" s="7"/>
      <c r="AT65" s="7">
        <v>0</v>
      </c>
      <c r="AU65" s="7"/>
      <c r="AV65" s="7"/>
      <c r="AX65" s="118">
        <f>M65+M131</f>
        <v>344132</v>
      </c>
    </row>
    <row r="66" spans="1:50" s="9" customFormat="1" ht="30.75">
      <c r="A66" s="95">
        <v>2</v>
      </c>
      <c r="B66" s="88" t="s">
        <v>152</v>
      </c>
      <c r="C66" s="77" t="s">
        <v>38</v>
      </c>
      <c r="D66" s="77" t="s">
        <v>233</v>
      </c>
      <c r="E66" s="77">
        <v>2021</v>
      </c>
      <c r="F66" s="77">
        <v>2024</v>
      </c>
      <c r="G66" s="77" t="s">
        <v>259</v>
      </c>
      <c r="H66" s="91" t="s">
        <v>304</v>
      </c>
      <c r="I66" s="105">
        <v>250000</v>
      </c>
      <c r="J66" s="105">
        <v>250000</v>
      </c>
      <c r="K66" s="105"/>
      <c r="L66" s="105"/>
      <c r="M66" s="105">
        <v>250000</v>
      </c>
      <c r="N66" s="105"/>
      <c r="O66" s="105"/>
      <c r="P66" s="15">
        <v>135148</v>
      </c>
      <c r="Q66" s="15"/>
      <c r="R66" s="15">
        <f>S66+T66</f>
        <v>135148</v>
      </c>
      <c r="S66" s="15">
        <v>135148</v>
      </c>
      <c r="T66" s="15"/>
      <c r="U66" s="15">
        <v>60000</v>
      </c>
      <c r="V66" s="15">
        <v>2447.4179999999978</v>
      </c>
      <c r="W66" s="15">
        <f>X66+Y66</f>
        <v>59999.582000000002</v>
      </c>
      <c r="X66" s="15">
        <v>57552.582000000002</v>
      </c>
      <c r="Y66" s="15">
        <v>2447</v>
      </c>
      <c r="Z66" s="15">
        <v>20000</v>
      </c>
      <c r="AA66" s="15">
        <f>Z66-AC66</f>
        <v>925.91100000000006</v>
      </c>
      <c r="AB66" s="15">
        <f>AC66+AD66</f>
        <v>20000</v>
      </c>
      <c r="AC66" s="15">
        <v>19074.089</v>
      </c>
      <c r="AD66" s="22">
        <v>925.91100000000006</v>
      </c>
      <c r="AE66" s="15">
        <v>34852</v>
      </c>
      <c r="AF66" s="90"/>
      <c r="AG66" s="15">
        <v>34852</v>
      </c>
      <c r="AH66" s="15">
        <v>34852</v>
      </c>
      <c r="AI66" s="90"/>
      <c r="AJ66" s="105"/>
      <c r="AK66" s="105"/>
      <c r="AL66" s="105"/>
      <c r="AM66" s="105"/>
      <c r="AN66" s="105"/>
      <c r="AO66" s="139">
        <f t="shared" si="2"/>
        <v>250000</v>
      </c>
      <c r="AP66" s="141">
        <f t="shared" si="3"/>
        <v>0</v>
      </c>
      <c r="AQ66" s="90"/>
      <c r="AS66" s="7"/>
      <c r="AT66" s="7">
        <v>1</v>
      </c>
      <c r="AU66" s="7"/>
      <c r="AV66" s="7"/>
    </row>
    <row r="67" spans="1:50" s="9" customFormat="1" ht="30">
      <c r="A67" s="101" t="s">
        <v>203</v>
      </c>
      <c r="B67" s="103" t="s">
        <v>154</v>
      </c>
      <c r="C67" s="77"/>
      <c r="D67" s="77"/>
      <c r="E67" s="77"/>
      <c r="F67" s="77"/>
      <c r="G67" s="77"/>
      <c r="H67" s="102"/>
      <c r="I67" s="104">
        <f t="shared" ref="I67:AN67" si="34">I68+I81+I85+I116+I119+I125+I128+I132</f>
        <v>8643799.5</v>
      </c>
      <c r="J67" s="104">
        <f t="shared" si="34"/>
        <v>6128562.5</v>
      </c>
      <c r="K67" s="104">
        <f t="shared" si="34"/>
        <v>3004352</v>
      </c>
      <c r="L67" s="104">
        <f t="shared" si="34"/>
        <v>1750654</v>
      </c>
      <c r="M67" s="104">
        <f t="shared" si="34"/>
        <v>3530464.5</v>
      </c>
      <c r="N67" s="104">
        <f t="shared" si="34"/>
        <v>436520</v>
      </c>
      <c r="O67" s="104">
        <f t="shared" si="34"/>
        <v>0</v>
      </c>
      <c r="P67" s="104">
        <f t="shared" si="34"/>
        <v>682875</v>
      </c>
      <c r="Q67" s="104">
        <f t="shared" si="34"/>
        <v>7328.9249459999992</v>
      </c>
      <c r="R67" s="104">
        <f t="shared" si="34"/>
        <v>677784.55344499997</v>
      </c>
      <c r="S67" s="104">
        <f t="shared" si="34"/>
        <v>672784.79238300002</v>
      </c>
      <c r="T67" s="104">
        <f t="shared" si="34"/>
        <v>4999.7610620000005</v>
      </c>
      <c r="U67" s="104">
        <f t="shared" si="34"/>
        <v>1137047</v>
      </c>
      <c r="V67" s="104">
        <f t="shared" si="34"/>
        <v>31372.412854000002</v>
      </c>
      <c r="W67" s="104">
        <f t="shared" si="34"/>
        <v>1104390.7372419999</v>
      </c>
      <c r="X67" s="104">
        <f t="shared" si="34"/>
        <v>1086568.1235179999</v>
      </c>
      <c r="Y67" s="104">
        <f t="shared" si="34"/>
        <v>17822.613723999999</v>
      </c>
      <c r="Z67" s="104">
        <f t="shared" si="34"/>
        <v>552204</v>
      </c>
      <c r="AA67" s="104">
        <f t="shared" si="34"/>
        <v>0</v>
      </c>
      <c r="AB67" s="104">
        <f t="shared" si="34"/>
        <v>548840.00654700003</v>
      </c>
      <c r="AC67" s="104">
        <f t="shared" si="34"/>
        <v>548840.00654700003</v>
      </c>
      <c r="AD67" s="104">
        <f t="shared" si="34"/>
        <v>0</v>
      </c>
      <c r="AE67" s="104">
        <f t="shared" si="34"/>
        <v>650193.35986700002</v>
      </c>
      <c r="AF67" s="104">
        <f t="shared" si="34"/>
        <v>0</v>
      </c>
      <c r="AG67" s="104">
        <f t="shared" si="34"/>
        <v>649468.35986700002</v>
      </c>
      <c r="AH67" s="104">
        <f t="shared" si="34"/>
        <v>649468.35986700002</v>
      </c>
      <c r="AI67" s="104">
        <f t="shared" si="34"/>
        <v>0</v>
      </c>
      <c r="AJ67" s="104">
        <f t="shared" si="34"/>
        <v>497805.14013299998</v>
      </c>
      <c r="AK67" s="104">
        <f t="shared" si="34"/>
        <v>0</v>
      </c>
      <c r="AL67" s="104">
        <f t="shared" si="34"/>
        <v>0</v>
      </c>
      <c r="AM67" s="104">
        <f t="shared" si="34"/>
        <v>0</v>
      </c>
      <c r="AN67" s="104">
        <f t="shared" si="34"/>
        <v>0</v>
      </c>
      <c r="AO67" s="139">
        <f t="shared" si="2"/>
        <v>3022319.359867</v>
      </c>
      <c r="AP67" s="141">
        <f t="shared" si="3"/>
        <v>508145.14013299998</v>
      </c>
      <c r="AQ67" s="90"/>
      <c r="AS67" s="7"/>
      <c r="AT67" s="7"/>
      <c r="AU67" s="7"/>
      <c r="AV67" s="7"/>
    </row>
    <row r="68" spans="1:50" s="9" customFormat="1" ht="30">
      <c r="A68" s="81" t="s">
        <v>354</v>
      </c>
      <c r="B68" s="82" t="s">
        <v>155</v>
      </c>
      <c r="C68" s="77"/>
      <c r="D68" s="77"/>
      <c r="E68" s="77"/>
      <c r="F68" s="77"/>
      <c r="G68" s="77"/>
      <c r="H68" s="91"/>
      <c r="I68" s="104">
        <f t="shared" ref="I68:AN68" si="35">I69+I78</f>
        <v>1436449</v>
      </c>
      <c r="J68" s="104">
        <f t="shared" si="35"/>
        <v>610088</v>
      </c>
      <c r="K68" s="104">
        <f t="shared" si="35"/>
        <v>1099637</v>
      </c>
      <c r="L68" s="104">
        <f t="shared" si="35"/>
        <v>292894</v>
      </c>
      <c r="M68" s="104">
        <f t="shared" si="35"/>
        <v>304092</v>
      </c>
      <c r="N68" s="104">
        <f t="shared" si="35"/>
        <v>0</v>
      </c>
      <c r="O68" s="104">
        <f t="shared" si="35"/>
        <v>0</v>
      </c>
      <c r="P68" s="104">
        <f t="shared" si="35"/>
        <v>96608</v>
      </c>
      <c r="Q68" s="104">
        <f t="shared" si="35"/>
        <v>0</v>
      </c>
      <c r="R68" s="104">
        <f t="shared" si="35"/>
        <v>95106.769551000005</v>
      </c>
      <c r="S68" s="104">
        <f t="shared" si="35"/>
        <v>95106.769551000005</v>
      </c>
      <c r="T68" s="104">
        <f t="shared" si="35"/>
        <v>0</v>
      </c>
      <c r="U68" s="104">
        <f t="shared" si="35"/>
        <v>165617</v>
      </c>
      <c r="V68" s="104">
        <f t="shared" si="35"/>
        <v>11133.154262</v>
      </c>
      <c r="W68" s="104">
        <f t="shared" si="35"/>
        <v>145027.88810900002</v>
      </c>
      <c r="X68" s="104">
        <f t="shared" si="35"/>
        <v>142333.00738499998</v>
      </c>
      <c r="Y68" s="104">
        <f t="shared" si="35"/>
        <v>2694.8807240000001</v>
      </c>
      <c r="Z68" s="104">
        <f t="shared" si="35"/>
        <v>11855</v>
      </c>
      <c r="AA68" s="104">
        <f t="shared" si="35"/>
        <v>0</v>
      </c>
      <c r="AB68" s="104">
        <f t="shared" si="35"/>
        <v>11596.793546999999</v>
      </c>
      <c r="AC68" s="104">
        <f t="shared" si="35"/>
        <v>11596.793546999999</v>
      </c>
      <c r="AD68" s="104">
        <f t="shared" si="35"/>
        <v>0</v>
      </c>
      <c r="AE68" s="104">
        <f t="shared" si="35"/>
        <v>13065.859867000001</v>
      </c>
      <c r="AF68" s="104">
        <f t="shared" si="35"/>
        <v>0</v>
      </c>
      <c r="AG68" s="104">
        <f t="shared" si="35"/>
        <v>13065.859867000001</v>
      </c>
      <c r="AH68" s="104">
        <f t="shared" si="35"/>
        <v>13065.859867000001</v>
      </c>
      <c r="AI68" s="104">
        <f t="shared" si="35"/>
        <v>0</v>
      </c>
      <c r="AJ68" s="104">
        <f t="shared" si="35"/>
        <v>16946.140133000001</v>
      </c>
      <c r="AK68" s="104">
        <f t="shared" si="35"/>
        <v>0</v>
      </c>
      <c r="AL68" s="104">
        <f t="shared" si="35"/>
        <v>0</v>
      </c>
      <c r="AM68" s="104">
        <f t="shared" si="35"/>
        <v>0</v>
      </c>
      <c r="AN68" s="104">
        <f t="shared" si="35"/>
        <v>0</v>
      </c>
      <c r="AO68" s="139">
        <f t="shared" si="2"/>
        <v>287145.85986700002</v>
      </c>
      <c r="AP68" s="141">
        <f t="shared" si="3"/>
        <v>16946.140132999979</v>
      </c>
      <c r="AQ68" s="90"/>
      <c r="AS68" s="7"/>
      <c r="AT68" s="7"/>
      <c r="AU68" s="7"/>
      <c r="AV68" s="7"/>
      <c r="AW68" s="9">
        <f>M68/$M$14*100</f>
        <v>4.4787122649175712</v>
      </c>
    </row>
    <row r="69" spans="1:50" s="9" customFormat="1" ht="30">
      <c r="A69" s="81" t="s">
        <v>120</v>
      </c>
      <c r="B69" s="82" t="s">
        <v>35</v>
      </c>
      <c r="C69" s="77"/>
      <c r="D69" s="77"/>
      <c r="E69" s="77"/>
      <c r="F69" s="77"/>
      <c r="G69" s="77"/>
      <c r="H69" s="91"/>
      <c r="I69" s="104">
        <f>SUM(I70:I77)</f>
        <v>1363749</v>
      </c>
      <c r="J69" s="104">
        <f t="shared" ref="J69:AN69" si="36">SUM(J70:J77)</f>
        <v>537388</v>
      </c>
      <c r="K69" s="104">
        <f t="shared" si="36"/>
        <v>1099637</v>
      </c>
      <c r="L69" s="104">
        <f t="shared" si="36"/>
        <v>292894</v>
      </c>
      <c r="M69" s="104">
        <f t="shared" si="36"/>
        <v>241749</v>
      </c>
      <c r="N69" s="104">
        <f t="shared" si="36"/>
        <v>0</v>
      </c>
      <c r="O69" s="104">
        <f t="shared" si="36"/>
        <v>0</v>
      </c>
      <c r="P69" s="104">
        <f t="shared" si="36"/>
        <v>88338</v>
      </c>
      <c r="Q69" s="104">
        <f t="shared" si="36"/>
        <v>0</v>
      </c>
      <c r="R69" s="104">
        <f t="shared" si="36"/>
        <v>86853.169351000004</v>
      </c>
      <c r="S69" s="104">
        <f t="shared" si="36"/>
        <v>86853.169351000004</v>
      </c>
      <c r="T69" s="104">
        <f t="shared" si="36"/>
        <v>0</v>
      </c>
      <c r="U69" s="104">
        <f t="shared" si="36"/>
        <v>153411</v>
      </c>
      <c r="V69" s="104">
        <f t="shared" si="36"/>
        <v>11133.154262</v>
      </c>
      <c r="W69" s="104">
        <f t="shared" si="36"/>
        <v>133369.89889100002</v>
      </c>
      <c r="X69" s="104">
        <f t="shared" si="36"/>
        <v>130675.01816699999</v>
      </c>
      <c r="Y69" s="104">
        <f t="shared" si="36"/>
        <v>2694.8807240000001</v>
      </c>
      <c r="Z69" s="104">
        <f t="shared" si="36"/>
        <v>0</v>
      </c>
      <c r="AA69" s="104">
        <f t="shared" si="36"/>
        <v>0</v>
      </c>
      <c r="AB69" s="104">
        <f t="shared" si="36"/>
        <v>0</v>
      </c>
      <c r="AC69" s="104">
        <f t="shared" si="36"/>
        <v>0</v>
      </c>
      <c r="AD69" s="104">
        <f t="shared" si="36"/>
        <v>0</v>
      </c>
      <c r="AE69" s="104">
        <f t="shared" si="36"/>
        <v>0</v>
      </c>
      <c r="AF69" s="104">
        <f t="shared" si="36"/>
        <v>0</v>
      </c>
      <c r="AG69" s="104">
        <f t="shared" si="36"/>
        <v>0</v>
      </c>
      <c r="AH69" s="104">
        <f t="shared" si="36"/>
        <v>0</v>
      </c>
      <c r="AI69" s="104">
        <f t="shared" si="36"/>
        <v>0</v>
      </c>
      <c r="AJ69" s="104">
        <f t="shared" si="36"/>
        <v>0</v>
      </c>
      <c r="AK69" s="104">
        <f t="shared" si="36"/>
        <v>0</v>
      </c>
      <c r="AL69" s="104">
        <f t="shared" si="36"/>
        <v>0</v>
      </c>
      <c r="AM69" s="104">
        <f t="shared" si="36"/>
        <v>0</v>
      </c>
      <c r="AN69" s="104">
        <f t="shared" si="36"/>
        <v>0</v>
      </c>
      <c r="AO69" s="139">
        <f t="shared" si="2"/>
        <v>241749</v>
      </c>
      <c r="AP69" s="141">
        <f t="shared" si="3"/>
        <v>0</v>
      </c>
      <c r="AQ69" s="90"/>
      <c r="AS69" s="7"/>
      <c r="AT69" s="7"/>
      <c r="AU69" s="7"/>
      <c r="AV69" s="7"/>
    </row>
    <row r="70" spans="1:50" s="9" customFormat="1" ht="78.75">
      <c r="A70" s="95">
        <v>1</v>
      </c>
      <c r="B70" s="96" t="s">
        <v>156</v>
      </c>
      <c r="C70" s="77" t="s">
        <v>38</v>
      </c>
      <c r="D70" s="77" t="s">
        <v>234</v>
      </c>
      <c r="E70" s="77">
        <v>2010</v>
      </c>
      <c r="F70" s="77">
        <v>2022</v>
      </c>
      <c r="G70" s="77" t="s">
        <v>260</v>
      </c>
      <c r="H70" s="91" t="s">
        <v>305</v>
      </c>
      <c r="I70" s="105">
        <v>127190</v>
      </c>
      <c r="J70" s="105">
        <v>127190</v>
      </c>
      <c r="K70" s="105">
        <v>97000</v>
      </c>
      <c r="L70" s="105">
        <v>97000</v>
      </c>
      <c r="M70" s="105">
        <v>28190</v>
      </c>
      <c r="N70" s="105"/>
      <c r="O70" s="106"/>
      <c r="P70" s="15">
        <v>9056</v>
      </c>
      <c r="Q70" s="15"/>
      <c r="R70" s="15">
        <f t="shared" ref="R70:R77" si="37">S70+T70</f>
        <v>9055.3872329999995</v>
      </c>
      <c r="S70" s="15">
        <v>9055.3872329999995</v>
      </c>
      <c r="T70" s="15"/>
      <c r="U70" s="15">
        <v>19134</v>
      </c>
      <c r="V70" s="15">
        <v>4777.2902620000004</v>
      </c>
      <c r="W70" s="15">
        <f t="shared" ref="W70:W77" si="38">X70+Y70</f>
        <v>14538.590462</v>
      </c>
      <c r="X70" s="15">
        <v>14356.709738</v>
      </c>
      <c r="Y70" s="15">
        <v>181.88072399999999</v>
      </c>
      <c r="Z70" s="15"/>
      <c r="AA70" s="15"/>
      <c r="AB70" s="15">
        <f>AC70+AD70</f>
        <v>0</v>
      </c>
      <c r="AC70" s="15"/>
      <c r="AD70" s="15"/>
      <c r="AE70" s="15"/>
      <c r="AF70" s="90"/>
      <c r="AG70" s="90"/>
      <c r="AH70" s="90"/>
      <c r="AI70" s="90"/>
      <c r="AJ70" s="90"/>
      <c r="AK70" s="90"/>
      <c r="AL70" s="90"/>
      <c r="AM70" s="90"/>
      <c r="AN70" s="90"/>
      <c r="AO70" s="139">
        <f t="shared" si="2"/>
        <v>28190</v>
      </c>
      <c r="AP70" s="141">
        <f t="shared" si="3"/>
        <v>0</v>
      </c>
      <c r="AQ70" s="90"/>
      <c r="AS70" s="7">
        <v>1</v>
      </c>
      <c r="AT70" s="7"/>
      <c r="AU70" s="7"/>
      <c r="AV70" s="7"/>
    </row>
    <row r="71" spans="1:50" s="9" customFormat="1" ht="68.25" customHeight="1">
      <c r="A71" s="95">
        <v>2</v>
      </c>
      <c r="B71" s="88" t="s">
        <v>157</v>
      </c>
      <c r="C71" s="77" t="s">
        <v>38</v>
      </c>
      <c r="D71" s="77" t="s">
        <v>235</v>
      </c>
      <c r="E71" s="77">
        <v>2019</v>
      </c>
      <c r="F71" s="77">
        <v>2022</v>
      </c>
      <c r="G71" s="77" t="s">
        <v>261</v>
      </c>
      <c r="H71" s="91" t="s">
        <v>306</v>
      </c>
      <c r="I71" s="105">
        <v>39860</v>
      </c>
      <c r="J71" s="105">
        <v>38960</v>
      </c>
      <c r="K71" s="105">
        <v>25000</v>
      </c>
      <c r="L71" s="105">
        <v>25000</v>
      </c>
      <c r="M71" s="105">
        <v>13960</v>
      </c>
      <c r="N71" s="105"/>
      <c r="O71" s="106"/>
      <c r="P71" s="15">
        <v>5000</v>
      </c>
      <c r="Q71" s="15"/>
      <c r="R71" s="15">
        <f t="shared" si="37"/>
        <v>5000</v>
      </c>
      <c r="S71" s="15">
        <v>5000</v>
      </c>
      <c r="T71" s="15"/>
      <c r="U71" s="15">
        <v>8960</v>
      </c>
      <c r="V71" s="15"/>
      <c r="W71" s="15">
        <f t="shared" si="38"/>
        <v>8042.3708409999999</v>
      </c>
      <c r="X71" s="15">
        <v>8042.3708409999999</v>
      </c>
      <c r="Y71" s="15"/>
      <c r="Z71" s="15"/>
      <c r="AA71" s="15"/>
      <c r="AB71" s="15">
        <f t="shared" ref="AB71:AB77" si="39">AC71+AD71</f>
        <v>0</v>
      </c>
      <c r="AC71" s="15"/>
      <c r="AD71" s="15"/>
      <c r="AE71" s="15"/>
      <c r="AF71" s="90"/>
      <c r="AG71" s="90"/>
      <c r="AH71" s="90"/>
      <c r="AI71" s="90"/>
      <c r="AJ71" s="90"/>
      <c r="AK71" s="90"/>
      <c r="AL71" s="90"/>
      <c r="AM71" s="90"/>
      <c r="AN71" s="90"/>
      <c r="AO71" s="139">
        <f t="shared" si="2"/>
        <v>13960</v>
      </c>
      <c r="AP71" s="141">
        <f t="shared" si="3"/>
        <v>0</v>
      </c>
      <c r="AQ71" s="90"/>
      <c r="AS71" s="7">
        <v>1</v>
      </c>
      <c r="AT71" s="7"/>
      <c r="AU71" s="7"/>
      <c r="AV71" s="7"/>
    </row>
    <row r="72" spans="1:50" s="9" customFormat="1" ht="52.5">
      <c r="A72" s="95">
        <v>3</v>
      </c>
      <c r="B72" s="88" t="s">
        <v>158</v>
      </c>
      <c r="C72" s="77" t="s">
        <v>38</v>
      </c>
      <c r="D72" s="77" t="s">
        <v>236</v>
      </c>
      <c r="E72" s="77">
        <v>2020</v>
      </c>
      <c r="F72" s="77">
        <v>2022</v>
      </c>
      <c r="G72" s="77" t="s">
        <v>262</v>
      </c>
      <c r="H72" s="91" t="s">
        <v>307</v>
      </c>
      <c r="I72" s="105">
        <v>35960</v>
      </c>
      <c r="J72" s="105">
        <v>30960</v>
      </c>
      <c r="K72" s="105">
        <v>20000</v>
      </c>
      <c r="L72" s="105">
        <v>20000</v>
      </c>
      <c r="M72" s="105">
        <v>10960</v>
      </c>
      <c r="N72" s="105"/>
      <c r="O72" s="106"/>
      <c r="P72" s="15">
        <v>5000</v>
      </c>
      <c r="Q72" s="15"/>
      <c r="R72" s="15">
        <f t="shared" si="37"/>
        <v>3615.8916419999996</v>
      </c>
      <c r="S72" s="15">
        <v>3615.8916419999996</v>
      </c>
      <c r="T72" s="15"/>
      <c r="U72" s="15">
        <v>5960</v>
      </c>
      <c r="V72" s="15">
        <v>5960</v>
      </c>
      <c r="W72" s="15">
        <f t="shared" si="38"/>
        <v>2513</v>
      </c>
      <c r="X72" s="15"/>
      <c r="Y72" s="15">
        <v>2513</v>
      </c>
      <c r="Z72" s="15"/>
      <c r="AA72" s="15"/>
      <c r="AB72" s="15">
        <f t="shared" si="39"/>
        <v>0</v>
      </c>
      <c r="AC72" s="15"/>
      <c r="AD72" s="15"/>
      <c r="AE72" s="15"/>
      <c r="AF72" s="90"/>
      <c r="AG72" s="90"/>
      <c r="AH72" s="90"/>
      <c r="AI72" s="90"/>
      <c r="AJ72" s="90"/>
      <c r="AK72" s="90"/>
      <c r="AL72" s="90"/>
      <c r="AM72" s="90"/>
      <c r="AN72" s="90"/>
      <c r="AO72" s="139">
        <f t="shared" si="2"/>
        <v>10960</v>
      </c>
      <c r="AP72" s="141">
        <f t="shared" si="3"/>
        <v>0</v>
      </c>
      <c r="AQ72" s="90"/>
      <c r="AS72" s="7">
        <v>1</v>
      </c>
      <c r="AT72" s="7"/>
      <c r="AU72" s="7"/>
      <c r="AV72" s="7"/>
    </row>
    <row r="73" spans="1:50" s="9" customFormat="1" ht="64.5" customHeight="1">
      <c r="A73" s="95">
        <v>4</v>
      </c>
      <c r="B73" s="96" t="s">
        <v>159</v>
      </c>
      <c r="C73" s="77" t="s">
        <v>38</v>
      </c>
      <c r="D73" s="77" t="s">
        <v>223</v>
      </c>
      <c r="E73" s="77">
        <v>2019</v>
      </c>
      <c r="F73" s="77">
        <v>2022</v>
      </c>
      <c r="G73" s="77" t="s">
        <v>263</v>
      </c>
      <c r="H73" s="91" t="s">
        <v>308</v>
      </c>
      <c r="I73" s="105">
        <v>39990</v>
      </c>
      <c r="J73" s="105">
        <v>39990</v>
      </c>
      <c r="K73" s="105">
        <v>25000</v>
      </c>
      <c r="L73" s="105">
        <v>25000</v>
      </c>
      <c r="M73" s="105">
        <v>14928</v>
      </c>
      <c r="N73" s="105"/>
      <c r="O73" s="106"/>
      <c r="P73" s="15">
        <v>0</v>
      </c>
      <c r="Q73" s="15"/>
      <c r="R73" s="15">
        <f t="shared" si="37"/>
        <v>0</v>
      </c>
      <c r="S73" s="15"/>
      <c r="T73" s="15"/>
      <c r="U73" s="15">
        <v>14928</v>
      </c>
      <c r="V73" s="15">
        <v>395.86399999999998</v>
      </c>
      <c r="W73" s="15">
        <f t="shared" si="38"/>
        <v>12758.766043</v>
      </c>
      <c r="X73" s="15">
        <v>12758.766043</v>
      </c>
      <c r="Y73" s="15">
        <v>0</v>
      </c>
      <c r="Z73" s="15"/>
      <c r="AA73" s="15"/>
      <c r="AB73" s="15">
        <f t="shared" si="39"/>
        <v>0</v>
      </c>
      <c r="AC73" s="15"/>
      <c r="AD73" s="15"/>
      <c r="AE73" s="15"/>
      <c r="AF73" s="90"/>
      <c r="AG73" s="90"/>
      <c r="AH73" s="90"/>
      <c r="AI73" s="90"/>
      <c r="AJ73" s="90"/>
      <c r="AK73" s="90"/>
      <c r="AL73" s="90"/>
      <c r="AM73" s="90"/>
      <c r="AN73" s="90"/>
      <c r="AO73" s="139">
        <f t="shared" si="2"/>
        <v>14928</v>
      </c>
      <c r="AP73" s="141">
        <f t="shared" si="3"/>
        <v>0</v>
      </c>
      <c r="AQ73" s="90"/>
      <c r="AS73" s="7">
        <v>1</v>
      </c>
      <c r="AT73" s="7"/>
      <c r="AU73" s="7"/>
      <c r="AV73" s="7"/>
    </row>
    <row r="74" spans="1:50" s="9" customFormat="1" ht="52.5">
      <c r="A74" s="95">
        <v>5</v>
      </c>
      <c r="B74" s="96" t="s">
        <v>160</v>
      </c>
      <c r="C74" s="77" t="s">
        <v>38</v>
      </c>
      <c r="D74" s="77"/>
      <c r="E74" s="77">
        <v>2018</v>
      </c>
      <c r="F74" s="77">
        <v>2022</v>
      </c>
      <c r="G74" s="77"/>
      <c r="H74" s="91" t="s">
        <v>309</v>
      </c>
      <c r="I74" s="105">
        <v>84120</v>
      </c>
      <c r="J74" s="105">
        <v>73780</v>
      </c>
      <c r="K74" s="105">
        <v>10685</v>
      </c>
      <c r="L74" s="105">
        <v>10685</v>
      </c>
      <c r="M74" s="105">
        <v>62412</v>
      </c>
      <c r="N74" s="105"/>
      <c r="O74" s="106"/>
      <c r="P74" s="15">
        <v>27400</v>
      </c>
      <c r="Q74" s="15"/>
      <c r="R74" s="15">
        <f t="shared" si="37"/>
        <v>27399.999999</v>
      </c>
      <c r="S74" s="15">
        <v>27399.999999</v>
      </c>
      <c r="T74" s="15"/>
      <c r="U74" s="15">
        <v>35012</v>
      </c>
      <c r="V74" s="15"/>
      <c r="W74" s="15">
        <f t="shared" si="38"/>
        <v>32779.583141000003</v>
      </c>
      <c r="X74" s="15">
        <v>32779.583141000003</v>
      </c>
      <c r="Y74" s="15"/>
      <c r="Z74" s="15"/>
      <c r="AA74" s="15"/>
      <c r="AB74" s="15">
        <f t="shared" si="39"/>
        <v>0</v>
      </c>
      <c r="AC74" s="15"/>
      <c r="AD74" s="15"/>
      <c r="AE74" s="15"/>
      <c r="AF74" s="90"/>
      <c r="AG74" s="90"/>
      <c r="AH74" s="90"/>
      <c r="AI74" s="90"/>
      <c r="AJ74" s="90"/>
      <c r="AK74" s="90"/>
      <c r="AL74" s="90"/>
      <c r="AM74" s="90"/>
      <c r="AN74" s="90"/>
      <c r="AO74" s="139">
        <f t="shared" si="2"/>
        <v>62412</v>
      </c>
      <c r="AP74" s="141">
        <f t="shared" si="3"/>
        <v>0</v>
      </c>
      <c r="AQ74" s="90"/>
      <c r="AS74" s="7">
        <v>1</v>
      </c>
      <c r="AT74" s="7"/>
      <c r="AU74" s="7"/>
      <c r="AV74" s="7"/>
    </row>
    <row r="75" spans="1:50" s="9" customFormat="1" ht="52.5">
      <c r="A75" s="95">
        <v>6</v>
      </c>
      <c r="B75" s="96" t="s">
        <v>161</v>
      </c>
      <c r="C75" s="77" t="s">
        <v>38</v>
      </c>
      <c r="D75" s="77"/>
      <c r="E75" s="77">
        <v>2018</v>
      </c>
      <c r="F75" s="77">
        <v>2022</v>
      </c>
      <c r="G75" s="77"/>
      <c r="H75" s="91" t="s">
        <v>310</v>
      </c>
      <c r="I75" s="105">
        <v>53032</v>
      </c>
      <c r="J75" s="105">
        <v>49862</v>
      </c>
      <c r="K75" s="105">
        <v>10795</v>
      </c>
      <c r="L75" s="105">
        <v>10795</v>
      </c>
      <c r="M75" s="105">
        <v>39067</v>
      </c>
      <c r="N75" s="105"/>
      <c r="O75" s="106"/>
      <c r="P75" s="15">
        <v>28000</v>
      </c>
      <c r="Q75" s="15"/>
      <c r="R75" s="15">
        <f t="shared" si="37"/>
        <v>28000</v>
      </c>
      <c r="S75" s="15">
        <v>28000</v>
      </c>
      <c r="T75" s="15"/>
      <c r="U75" s="15">
        <v>11067</v>
      </c>
      <c r="V75" s="15"/>
      <c r="W75" s="15">
        <f t="shared" si="38"/>
        <v>8968.6070259999997</v>
      </c>
      <c r="X75" s="15">
        <v>8968.6070259999997</v>
      </c>
      <c r="Y75" s="15"/>
      <c r="Z75" s="15"/>
      <c r="AA75" s="15"/>
      <c r="AB75" s="15">
        <f t="shared" si="39"/>
        <v>0</v>
      </c>
      <c r="AC75" s="15"/>
      <c r="AD75" s="15"/>
      <c r="AE75" s="15"/>
      <c r="AF75" s="90"/>
      <c r="AG75" s="90"/>
      <c r="AH75" s="90"/>
      <c r="AI75" s="90"/>
      <c r="AJ75" s="90"/>
      <c r="AK75" s="90"/>
      <c r="AL75" s="90"/>
      <c r="AM75" s="90"/>
      <c r="AN75" s="90"/>
      <c r="AO75" s="139">
        <f t="shared" si="2"/>
        <v>39067</v>
      </c>
      <c r="AP75" s="141">
        <f t="shared" si="3"/>
        <v>0</v>
      </c>
      <c r="AQ75" s="90"/>
      <c r="AS75" s="7">
        <v>1</v>
      </c>
      <c r="AT75" s="7"/>
      <c r="AU75" s="7"/>
      <c r="AV75" s="7"/>
    </row>
    <row r="76" spans="1:50" s="9" customFormat="1" ht="64.5" customHeight="1">
      <c r="A76" s="95">
        <v>7</v>
      </c>
      <c r="B76" s="123" t="s">
        <v>162</v>
      </c>
      <c r="C76" s="77" t="s">
        <v>38</v>
      </c>
      <c r="D76" s="77"/>
      <c r="E76" s="77">
        <v>2012</v>
      </c>
      <c r="F76" s="77">
        <v>2021</v>
      </c>
      <c r="G76" s="77"/>
      <c r="H76" s="91" t="s">
        <v>311</v>
      </c>
      <c r="I76" s="105">
        <v>894597</v>
      </c>
      <c r="J76" s="105">
        <v>87646</v>
      </c>
      <c r="K76" s="105">
        <f>L76+806743</f>
        <v>892157</v>
      </c>
      <c r="L76" s="105">
        <v>85414</v>
      </c>
      <c r="M76" s="105">
        <v>2232</v>
      </c>
      <c r="N76" s="105"/>
      <c r="O76" s="120"/>
      <c r="P76" s="16">
        <v>2232</v>
      </c>
      <c r="Q76" s="16"/>
      <c r="R76" s="15">
        <f t="shared" si="37"/>
        <v>2232.4113400000001</v>
      </c>
      <c r="S76" s="16">
        <v>2232.4113400000001</v>
      </c>
      <c r="T76" s="16"/>
      <c r="U76" s="16"/>
      <c r="V76" s="16"/>
      <c r="W76" s="15">
        <f t="shared" si="38"/>
        <v>0</v>
      </c>
      <c r="X76" s="16"/>
      <c r="Y76" s="16"/>
      <c r="Z76" s="16"/>
      <c r="AA76" s="16"/>
      <c r="AB76" s="15">
        <f t="shared" si="39"/>
        <v>0</v>
      </c>
      <c r="AC76" s="16"/>
      <c r="AD76" s="16"/>
      <c r="AE76" s="16"/>
      <c r="AF76" s="90"/>
      <c r="AG76" s="90"/>
      <c r="AH76" s="90"/>
      <c r="AI76" s="90"/>
      <c r="AJ76" s="90"/>
      <c r="AK76" s="90"/>
      <c r="AL76" s="90"/>
      <c r="AM76" s="90"/>
      <c r="AN76" s="90"/>
      <c r="AO76" s="139">
        <f t="shared" si="2"/>
        <v>2232</v>
      </c>
      <c r="AP76" s="141">
        <f t="shared" si="3"/>
        <v>0</v>
      </c>
      <c r="AQ76" s="90"/>
      <c r="AS76" s="7">
        <v>1</v>
      </c>
      <c r="AT76" s="7"/>
      <c r="AU76" s="7"/>
      <c r="AV76" s="7"/>
    </row>
    <row r="77" spans="1:50" s="9" customFormat="1" ht="52.5">
      <c r="A77" s="95">
        <v>8</v>
      </c>
      <c r="B77" s="88" t="s">
        <v>163</v>
      </c>
      <c r="C77" s="77" t="s">
        <v>38</v>
      </c>
      <c r="D77" s="77"/>
      <c r="E77" s="77">
        <v>2017</v>
      </c>
      <c r="F77" s="77">
        <v>2021</v>
      </c>
      <c r="G77" s="77"/>
      <c r="H77" s="91" t="s">
        <v>312</v>
      </c>
      <c r="I77" s="105">
        <v>89000</v>
      </c>
      <c r="J77" s="105">
        <v>89000</v>
      </c>
      <c r="K77" s="105">
        <v>19000</v>
      </c>
      <c r="L77" s="105">
        <v>19000</v>
      </c>
      <c r="M77" s="105">
        <v>70000</v>
      </c>
      <c r="N77" s="105"/>
      <c r="O77" s="106"/>
      <c r="P77" s="15">
        <v>11650</v>
      </c>
      <c r="Q77" s="15"/>
      <c r="R77" s="15">
        <f t="shared" si="37"/>
        <v>11549.479137</v>
      </c>
      <c r="S77" s="15">
        <v>11549.479137</v>
      </c>
      <c r="T77" s="15"/>
      <c r="U77" s="15">
        <v>58350</v>
      </c>
      <c r="V77" s="15"/>
      <c r="W77" s="15">
        <f t="shared" si="38"/>
        <v>53768.981377999997</v>
      </c>
      <c r="X77" s="15">
        <v>53768.981377999997</v>
      </c>
      <c r="Y77" s="15"/>
      <c r="Z77" s="15"/>
      <c r="AA77" s="15"/>
      <c r="AB77" s="15">
        <f t="shared" si="39"/>
        <v>0</v>
      </c>
      <c r="AC77" s="15"/>
      <c r="AD77" s="15"/>
      <c r="AE77" s="15"/>
      <c r="AF77" s="90"/>
      <c r="AG77" s="90"/>
      <c r="AH77" s="90"/>
      <c r="AI77" s="90"/>
      <c r="AJ77" s="90"/>
      <c r="AK77" s="90"/>
      <c r="AL77" s="90"/>
      <c r="AM77" s="90"/>
      <c r="AN77" s="90"/>
      <c r="AO77" s="139">
        <f t="shared" si="2"/>
        <v>70000</v>
      </c>
      <c r="AP77" s="141">
        <f t="shared" si="3"/>
        <v>0</v>
      </c>
      <c r="AQ77" s="90"/>
      <c r="AS77" s="7">
        <v>1</v>
      </c>
      <c r="AT77" s="7"/>
      <c r="AU77" s="7"/>
      <c r="AV77" s="7"/>
    </row>
    <row r="78" spans="1:50" s="9" customFormat="1" ht="30">
      <c r="A78" s="81" t="s">
        <v>122</v>
      </c>
      <c r="B78" s="82" t="s">
        <v>36</v>
      </c>
      <c r="C78" s="77"/>
      <c r="D78" s="77"/>
      <c r="E78" s="77"/>
      <c r="F78" s="77"/>
      <c r="G78" s="77"/>
      <c r="H78" s="91"/>
      <c r="I78" s="104">
        <f>I79</f>
        <v>72700</v>
      </c>
      <c r="J78" s="104">
        <f t="shared" ref="J78:AN79" si="40">J79</f>
        <v>72700</v>
      </c>
      <c r="K78" s="104">
        <f t="shared" si="40"/>
        <v>0</v>
      </c>
      <c r="L78" s="104">
        <f t="shared" si="40"/>
        <v>0</v>
      </c>
      <c r="M78" s="104">
        <f t="shared" si="40"/>
        <v>62343</v>
      </c>
      <c r="N78" s="104">
        <f t="shared" si="40"/>
        <v>0</v>
      </c>
      <c r="O78" s="104">
        <f t="shared" si="40"/>
        <v>0</v>
      </c>
      <c r="P78" s="104">
        <f t="shared" si="40"/>
        <v>8270</v>
      </c>
      <c r="Q78" s="104">
        <f t="shared" si="40"/>
        <v>0</v>
      </c>
      <c r="R78" s="104">
        <f t="shared" si="40"/>
        <v>8253.6001999999989</v>
      </c>
      <c r="S78" s="104">
        <f t="shared" si="40"/>
        <v>8253.6001999999989</v>
      </c>
      <c r="T78" s="104">
        <f t="shared" si="40"/>
        <v>0</v>
      </c>
      <c r="U78" s="104">
        <f t="shared" si="40"/>
        <v>12206</v>
      </c>
      <c r="V78" s="104">
        <f t="shared" si="40"/>
        <v>0</v>
      </c>
      <c r="W78" s="104">
        <f t="shared" si="40"/>
        <v>11657.989217999999</v>
      </c>
      <c r="X78" s="104">
        <f t="shared" si="40"/>
        <v>11657.989217999999</v>
      </c>
      <c r="Y78" s="104">
        <f t="shared" si="40"/>
        <v>0</v>
      </c>
      <c r="Z78" s="104">
        <f t="shared" si="40"/>
        <v>11855</v>
      </c>
      <c r="AA78" s="104">
        <f t="shared" si="40"/>
        <v>0</v>
      </c>
      <c r="AB78" s="104">
        <f t="shared" si="40"/>
        <v>11596.793546999999</v>
      </c>
      <c r="AC78" s="104">
        <f t="shared" si="40"/>
        <v>11596.793546999999</v>
      </c>
      <c r="AD78" s="104">
        <f t="shared" si="40"/>
        <v>0</v>
      </c>
      <c r="AE78" s="104">
        <f t="shared" si="40"/>
        <v>13065.859867000001</v>
      </c>
      <c r="AF78" s="104">
        <f t="shared" si="40"/>
        <v>0</v>
      </c>
      <c r="AG78" s="104">
        <f t="shared" si="40"/>
        <v>13065.859867000001</v>
      </c>
      <c r="AH78" s="104">
        <f t="shared" si="40"/>
        <v>13065.859867000001</v>
      </c>
      <c r="AI78" s="104">
        <f t="shared" si="40"/>
        <v>0</v>
      </c>
      <c r="AJ78" s="104">
        <f t="shared" si="40"/>
        <v>16946.140133000001</v>
      </c>
      <c r="AK78" s="104">
        <f t="shared" si="40"/>
        <v>0</v>
      </c>
      <c r="AL78" s="104">
        <f t="shared" si="40"/>
        <v>0</v>
      </c>
      <c r="AM78" s="104">
        <f t="shared" si="40"/>
        <v>0</v>
      </c>
      <c r="AN78" s="104">
        <f t="shared" si="40"/>
        <v>0</v>
      </c>
      <c r="AO78" s="139">
        <f t="shared" ref="AO78:AO141" si="41">P78+U78+Z78+AE78</f>
        <v>45396.859866999999</v>
      </c>
      <c r="AP78" s="141">
        <f t="shared" ref="AP78:AP141" si="42">M78-AO78</f>
        <v>16946.140133000001</v>
      </c>
      <c r="AQ78" s="90"/>
      <c r="AS78" s="7"/>
      <c r="AT78" s="7"/>
      <c r="AU78" s="7"/>
      <c r="AV78" s="7"/>
    </row>
    <row r="79" spans="1:50" s="9" customFormat="1" ht="30">
      <c r="A79" s="85" t="s">
        <v>96</v>
      </c>
      <c r="B79" s="86" t="s">
        <v>123</v>
      </c>
      <c r="C79" s="77"/>
      <c r="D79" s="77"/>
      <c r="E79" s="77"/>
      <c r="F79" s="77"/>
      <c r="G79" s="77"/>
      <c r="H79" s="107"/>
      <c r="I79" s="108">
        <f>I80</f>
        <v>72700</v>
      </c>
      <c r="J79" s="108">
        <f t="shared" si="40"/>
        <v>72700</v>
      </c>
      <c r="K79" s="108">
        <f t="shared" si="40"/>
        <v>0</v>
      </c>
      <c r="L79" s="108">
        <f t="shared" si="40"/>
        <v>0</v>
      </c>
      <c r="M79" s="108">
        <f t="shared" si="40"/>
        <v>62343</v>
      </c>
      <c r="N79" s="108">
        <f t="shared" si="40"/>
        <v>0</v>
      </c>
      <c r="O79" s="108">
        <f t="shared" si="40"/>
        <v>0</v>
      </c>
      <c r="P79" s="108">
        <f t="shared" si="40"/>
        <v>8270</v>
      </c>
      <c r="Q79" s="108">
        <f t="shared" si="40"/>
        <v>0</v>
      </c>
      <c r="R79" s="108">
        <f t="shared" si="40"/>
        <v>8253.6001999999989</v>
      </c>
      <c r="S79" s="108">
        <f t="shared" si="40"/>
        <v>8253.6001999999989</v>
      </c>
      <c r="T79" s="108">
        <f t="shared" si="40"/>
        <v>0</v>
      </c>
      <c r="U79" s="108">
        <f t="shared" si="40"/>
        <v>12206</v>
      </c>
      <c r="V79" s="108">
        <f t="shared" si="40"/>
        <v>0</v>
      </c>
      <c r="W79" s="108">
        <f t="shared" si="40"/>
        <v>11657.989217999999</v>
      </c>
      <c r="X79" s="108">
        <f t="shared" si="40"/>
        <v>11657.989217999999</v>
      </c>
      <c r="Y79" s="108">
        <f t="shared" si="40"/>
        <v>0</v>
      </c>
      <c r="Z79" s="108">
        <f t="shared" si="40"/>
        <v>11855</v>
      </c>
      <c r="AA79" s="108">
        <f t="shared" si="40"/>
        <v>0</v>
      </c>
      <c r="AB79" s="108">
        <f t="shared" si="40"/>
        <v>11596.793546999999</v>
      </c>
      <c r="AC79" s="108">
        <f t="shared" si="40"/>
        <v>11596.793546999999</v>
      </c>
      <c r="AD79" s="108">
        <f t="shared" si="40"/>
        <v>0</v>
      </c>
      <c r="AE79" s="108">
        <f t="shared" si="40"/>
        <v>13065.859867000001</v>
      </c>
      <c r="AF79" s="108">
        <f t="shared" si="40"/>
        <v>0</v>
      </c>
      <c r="AG79" s="108">
        <f t="shared" si="40"/>
        <v>13065.859867000001</v>
      </c>
      <c r="AH79" s="108">
        <f t="shared" si="40"/>
        <v>13065.859867000001</v>
      </c>
      <c r="AI79" s="108">
        <f t="shared" si="40"/>
        <v>0</v>
      </c>
      <c r="AJ79" s="108">
        <f t="shared" si="40"/>
        <v>16946.140133000001</v>
      </c>
      <c r="AK79" s="108">
        <f t="shared" si="40"/>
        <v>0</v>
      </c>
      <c r="AL79" s="108">
        <f t="shared" si="40"/>
        <v>0</v>
      </c>
      <c r="AM79" s="108">
        <f t="shared" si="40"/>
        <v>0</v>
      </c>
      <c r="AN79" s="108">
        <f t="shared" si="40"/>
        <v>0</v>
      </c>
      <c r="AO79" s="139">
        <f t="shared" si="41"/>
        <v>45396.859866999999</v>
      </c>
      <c r="AP79" s="141">
        <f t="shared" si="42"/>
        <v>16946.140133000001</v>
      </c>
      <c r="AQ79" s="90"/>
      <c r="AS79" s="7"/>
      <c r="AT79" s="7"/>
      <c r="AU79" s="7"/>
      <c r="AV79" s="7"/>
    </row>
    <row r="80" spans="1:50" s="9" customFormat="1" ht="46.15">
      <c r="A80" s="95">
        <v>1</v>
      </c>
      <c r="B80" s="88" t="s">
        <v>164</v>
      </c>
      <c r="C80" s="77" t="s">
        <v>38</v>
      </c>
      <c r="D80" s="77"/>
      <c r="E80" s="77">
        <v>2021</v>
      </c>
      <c r="F80" s="77">
        <v>2025</v>
      </c>
      <c r="G80" s="77"/>
      <c r="H80" s="91" t="s">
        <v>313</v>
      </c>
      <c r="I80" s="105">
        <v>72700</v>
      </c>
      <c r="J80" s="105">
        <v>72700</v>
      </c>
      <c r="K80" s="105"/>
      <c r="L80" s="105"/>
      <c r="M80" s="113">
        <v>62343</v>
      </c>
      <c r="N80" s="105"/>
      <c r="O80" s="120"/>
      <c r="P80" s="15">
        <v>8270</v>
      </c>
      <c r="Q80" s="15"/>
      <c r="R80" s="15">
        <f t="shared" ref="R80:R144" si="43">S80+T80</f>
        <v>8253.6001999999989</v>
      </c>
      <c r="S80" s="16">
        <v>8253.6001999999989</v>
      </c>
      <c r="T80" s="16"/>
      <c r="U80" s="16">
        <v>12206</v>
      </c>
      <c r="V80" s="16"/>
      <c r="W80" s="15">
        <f t="shared" ref="W80:W144" si="44">X80+Y80</f>
        <v>11657.989217999999</v>
      </c>
      <c r="X80" s="16">
        <v>11657.989217999999</v>
      </c>
      <c r="Y80" s="16"/>
      <c r="Z80" s="16">
        <v>11855</v>
      </c>
      <c r="AA80" s="16"/>
      <c r="AB80" s="15">
        <f>AC80+AD80</f>
        <v>11596.793546999999</v>
      </c>
      <c r="AC80" s="16">
        <v>11596.793546999999</v>
      </c>
      <c r="AD80" s="16"/>
      <c r="AE80" s="144">
        <v>13065.859867000001</v>
      </c>
      <c r="AF80" s="90"/>
      <c r="AG80" s="16">
        <v>13065.859867000001</v>
      </c>
      <c r="AH80" s="16">
        <v>13065.859867000001</v>
      </c>
      <c r="AI80" s="90"/>
      <c r="AJ80" s="16">
        <v>16946.140133000001</v>
      </c>
      <c r="AK80" s="16"/>
      <c r="AL80" s="16"/>
      <c r="AM80" s="16"/>
      <c r="AN80" s="16"/>
      <c r="AO80" s="139">
        <f t="shared" si="41"/>
        <v>45396.859866999999</v>
      </c>
      <c r="AP80" s="141">
        <f t="shared" si="42"/>
        <v>16946.140133000001</v>
      </c>
      <c r="AQ80" s="23" t="s">
        <v>351</v>
      </c>
      <c r="AS80" s="7"/>
      <c r="AT80" s="7">
        <v>1</v>
      </c>
      <c r="AU80" s="7"/>
      <c r="AV80" s="7"/>
    </row>
    <row r="81" spans="1:49" s="9" customFormat="1" ht="17.25">
      <c r="A81" s="81" t="s">
        <v>355</v>
      </c>
      <c r="B81" s="82" t="s">
        <v>165</v>
      </c>
      <c r="C81" s="77"/>
      <c r="D81" s="77"/>
      <c r="E81" s="77"/>
      <c r="F81" s="77"/>
      <c r="G81" s="77"/>
      <c r="H81" s="102"/>
      <c r="I81" s="104">
        <f>I82</f>
        <v>110000</v>
      </c>
      <c r="J81" s="104">
        <f t="shared" ref="J81:AN81" si="45">J82</f>
        <v>110000</v>
      </c>
      <c r="K81" s="104">
        <f t="shared" si="45"/>
        <v>0</v>
      </c>
      <c r="L81" s="104">
        <f t="shared" si="45"/>
        <v>0</v>
      </c>
      <c r="M81" s="104">
        <f t="shared" si="45"/>
        <v>9160</v>
      </c>
      <c r="N81" s="104">
        <f t="shared" si="45"/>
        <v>0</v>
      </c>
      <c r="O81" s="104">
        <f t="shared" si="45"/>
        <v>0</v>
      </c>
      <c r="P81" s="104">
        <f t="shared" si="45"/>
        <v>0</v>
      </c>
      <c r="Q81" s="104">
        <f t="shared" si="45"/>
        <v>0</v>
      </c>
      <c r="R81" s="104">
        <f t="shared" si="45"/>
        <v>0</v>
      </c>
      <c r="S81" s="104">
        <f t="shared" si="45"/>
        <v>0</v>
      </c>
      <c r="T81" s="104">
        <f t="shared" si="45"/>
        <v>0</v>
      </c>
      <c r="U81" s="104">
        <f t="shared" si="45"/>
        <v>500</v>
      </c>
      <c r="V81" s="104">
        <f t="shared" si="45"/>
        <v>0</v>
      </c>
      <c r="W81" s="104">
        <f t="shared" si="45"/>
        <v>500</v>
      </c>
      <c r="X81" s="104">
        <f t="shared" si="45"/>
        <v>500</v>
      </c>
      <c r="Y81" s="104">
        <f t="shared" si="45"/>
        <v>0</v>
      </c>
      <c r="Z81" s="104">
        <f t="shared" si="45"/>
        <v>0</v>
      </c>
      <c r="AA81" s="104">
        <f t="shared" si="45"/>
        <v>0</v>
      </c>
      <c r="AB81" s="104">
        <f t="shared" si="45"/>
        <v>0</v>
      </c>
      <c r="AC81" s="104">
        <f t="shared" si="45"/>
        <v>0</v>
      </c>
      <c r="AD81" s="104">
        <f t="shared" si="45"/>
        <v>0</v>
      </c>
      <c r="AE81" s="104">
        <f t="shared" si="45"/>
        <v>0</v>
      </c>
      <c r="AF81" s="104">
        <f t="shared" si="45"/>
        <v>0</v>
      </c>
      <c r="AG81" s="104">
        <f t="shared" si="45"/>
        <v>0</v>
      </c>
      <c r="AH81" s="104">
        <f t="shared" si="45"/>
        <v>0</v>
      </c>
      <c r="AI81" s="104">
        <f t="shared" si="45"/>
        <v>0</v>
      </c>
      <c r="AJ81" s="104">
        <f t="shared" si="45"/>
        <v>0</v>
      </c>
      <c r="AK81" s="104">
        <f t="shared" si="45"/>
        <v>0</v>
      </c>
      <c r="AL81" s="104">
        <f t="shared" si="45"/>
        <v>0</v>
      </c>
      <c r="AM81" s="104">
        <f t="shared" si="45"/>
        <v>0</v>
      </c>
      <c r="AN81" s="104">
        <f t="shared" si="45"/>
        <v>0</v>
      </c>
      <c r="AO81" s="139">
        <f t="shared" si="41"/>
        <v>500</v>
      </c>
      <c r="AP81" s="141">
        <f t="shared" si="42"/>
        <v>8660</v>
      </c>
      <c r="AQ81" s="90"/>
      <c r="AS81" s="7"/>
      <c r="AT81" s="7"/>
      <c r="AU81" s="7"/>
      <c r="AV81" s="7"/>
    </row>
    <row r="82" spans="1:49" s="9" customFormat="1" ht="30">
      <c r="A82" s="81" t="s">
        <v>120</v>
      </c>
      <c r="B82" s="82" t="s">
        <v>36</v>
      </c>
      <c r="C82" s="77"/>
      <c r="D82" s="77"/>
      <c r="E82" s="77"/>
      <c r="F82" s="77"/>
      <c r="G82" s="77"/>
      <c r="H82" s="102"/>
      <c r="I82" s="104">
        <f>I84</f>
        <v>110000</v>
      </c>
      <c r="J82" s="104">
        <f t="shared" ref="J82:AN82" si="46">J84</f>
        <v>110000</v>
      </c>
      <c r="K82" s="104">
        <f t="shared" si="46"/>
        <v>0</v>
      </c>
      <c r="L82" s="104">
        <f t="shared" si="46"/>
        <v>0</v>
      </c>
      <c r="M82" s="104">
        <f t="shared" si="46"/>
        <v>9160</v>
      </c>
      <c r="N82" s="104">
        <f t="shared" si="46"/>
        <v>0</v>
      </c>
      <c r="O82" s="104">
        <f t="shared" si="46"/>
        <v>0</v>
      </c>
      <c r="P82" s="104">
        <f t="shared" si="46"/>
        <v>0</v>
      </c>
      <c r="Q82" s="104">
        <f t="shared" si="46"/>
        <v>0</v>
      </c>
      <c r="R82" s="104">
        <f t="shared" si="46"/>
        <v>0</v>
      </c>
      <c r="S82" s="104">
        <f t="shared" si="46"/>
        <v>0</v>
      </c>
      <c r="T82" s="104">
        <f t="shared" si="46"/>
        <v>0</v>
      </c>
      <c r="U82" s="104">
        <f t="shared" si="46"/>
        <v>500</v>
      </c>
      <c r="V82" s="104">
        <f t="shared" si="46"/>
        <v>0</v>
      </c>
      <c r="W82" s="104">
        <f t="shared" si="46"/>
        <v>500</v>
      </c>
      <c r="X82" s="104">
        <f t="shared" si="46"/>
        <v>500</v>
      </c>
      <c r="Y82" s="104">
        <f t="shared" si="46"/>
        <v>0</v>
      </c>
      <c r="Z82" s="104">
        <f t="shared" si="46"/>
        <v>0</v>
      </c>
      <c r="AA82" s="104">
        <f t="shared" si="46"/>
        <v>0</v>
      </c>
      <c r="AB82" s="104">
        <f t="shared" si="46"/>
        <v>0</v>
      </c>
      <c r="AC82" s="104">
        <f t="shared" si="46"/>
        <v>0</v>
      </c>
      <c r="AD82" s="104">
        <f t="shared" si="46"/>
        <v>0</v>
      </c>
      <c r="AE82" s="104">
        <f t="shared" si="46"/>
        <v>0</v>
      </c>
      <c r="AF82" s="104">
        <f t="shared" si="46"/>
        <v>0</v>
      </c>
      <c r="AG82" s="104">
        <f t="shared" si="46"/>
        <v>0</v>
      </c>
      <c r="AH82" s="104">
        <f t="shared" si="46"/>
        <v>0</v>
      </c>
      <c r="AI82" s="104">
        <f t="shared" si="46"/>
        <v>0</v>
      </c>
      <c r="AJ82" s="104">
        <f t="shared" si="46"/>
        <v>0</v>
      </c>
      <c r="AK82" s="104">
        <f t="shared" si="46"/>
        <v>0</v>
      </c>
      <c r="AL82" s="104">
        <f t="shared" si="46"/>
        <v>0</v>
      </c>
      <c r="AM82" s="104">
        <f t="shared" si="46"/>
        <v>0</v>
      </c>
      <c r="AN82" s="104">
        <f t="shared" si="46"/>
        <v>0</v>
      </c>
      <c r="AO82" s="139">
        <f t="shared" si="41"/>
        <v>500</v>
      </c>
      <c r="AP82" s="141">
        <f t="shared" si="42"/>
        <v>8660</v>
      </c>
      <c r="AQ82" s="90"/>
      <c r="AS82" s="7"/>
      <c r="AT82" s="7"/>
      <c r="AU82" s="7"/>
      <c r="AV82" s="7"/>
    </row>
    <row r="83" spans="1:49" s="9" customFormat="1" ht="30">
      <c r="A83" s="85" t="s">
        <v>96</v>
      </c>
      <c r="B83" s="86" t="s">
        <v>98</v>
      </c>
      <c r="C83" s="77"/>
      <c r="D83" s="77"/>
      <c r="E83" s="77"/>
      <c r="F83" s="77"/>
      <c r="G83" s="77"/>
      <c r="H83" s="107"/>
      <c r="I83" s="108">
        <f>I84</f>
        <v>110000</v>
      </c>
      <c r="J83" s="108">
        <f t="shared" ref="J83:AN83" si="47">J84</f>
        <v>110000</v>
      </c>
      <c r="K83" s="108">
        <f t="shared" si="47"/>
        <v>0</v>
      </c>
      <c r="L83" s="108">
        <f t="shared" si="47"/>
        <v>0</v>
      </c>
      <c r="M83" s="108">
        <f t="shared" si="47"/>
        <v>9160</v>
      </c>
      <c r="N83" s="108">
        <f t="shared" si="47"/>
        <v>0</v>
      </c>
      <c r="O83" s="108">
        <f t="shared" si="47"/>
        <v>0</v>
      </c>
      <c r="P83" s="108">
        <f t="shared" si="47"/>
        <v>0</v>
      </c>
      <c r="Q83" s="108">
        <f t="shared" si="47"/>
        <v>0</v>
      </c>
      <c r="R83" s="108">
        <f t="shared" si="47"/>
        <v>0</v>
      </c>
      <c r="S83" s="108">
        <f t="shared" si="47"/>
        <v>0</v>
      </c>
      <c r="T83" s="108">
        <f t="shared" si="47"/>
        <v>0</v>
      </c>
      <c r="U83" s="108">
        <f t="shared" si="47"/>
        <v>500</v>
      </c>
      <c r="V83" s="108">
        <f t="shared" si="47"/>
        <v>0</v>
      </c>
      <c r="W83" s="108">
        <f t="shared" si="47"/>
        <v>500</v>
      </c>
      <c r="X83" s="108">
        <f t="shared" si="47"/>
        <v>500</v>
      </c>
      <c r="Y83" s="108">
        <f t="shared" si="47"/>
        <v>0</v>
      </c>
      <c r="Z83" s="108">
        <f t="shared" si="47"/>
        <v>0</v>
      </c>
      <c r="AA83" s="108">
        <f t="shared" si="47"/>
        <v>0</v>
      </c>
      <c r="AB83" s="108">
        <f t="shared" si="47"/>
        <v>0</v>
      </c>
      <c r="AC83" s="108">
        <f t="shared" si="47"/>
        <v>0</v>
      </c>
      <c r="AD83" s="108">
        <f t="shared" si="47"/>
        <v>0</v>
      </c>
      <c r="AE83" s="108">
        <f t="shared" si="47"/>
        <v>0</v>
      </c>
      <c r="AF83" s="108">
        <f t="shared" si="47"/>
        <v>0</v>
      </c>
      <c r="AG83" s="108">
        <f t="shared" si="47"/>
        <v>0</v>
      </c>
      <c r="AH83" s="108">
        <f t="shared" si="47"/>
        <v>0</v>
      </c>
      <c r="AI83" s="108">
        <f t="shared" si="47"/>
        <v>0</v>
      </c>
      <c r="AJ83" s="108">
        <f t="shared" si="47"/>
        <v>0</v>
      </c>
      <c r="AK83" s="108">
        <f t="shared" si="47"/>
        <v>0</v>
      </c>
      <c r="AL83" s="108">
        <f t="shared" si="47"/>
        <v>0</v>
      </c>
      <c r="AM83" s="108">
        <f t="shared" si="47"/>
        <v>0</v>
      </c>
      <c r="AN83" s="108">
        <f t="shared" si="47"/>
        <v>0</v>
      </c>
      <c r="AO83" s="139">
        <f t="shared" si="41"/>
        <v>500</v>
      </c>
      <c r="AP83" s="141">
        <f t="shared" si="42"/>
        <v>8660</v>
      </c>
      <c r="AQ83" s="90"/>
      <c r="AS83" s="7"/>
      <c r="AT83" s="7"/>
      <c r="AU83" s="7"/>
      <c r="AV83" s="7"/>
    </row>
    <row r="84" spans="1:49" s="9" customFormat="1" ht="71.25" customHeight="1">
      <c r="A84" s="95">
        <v>1</v>
      </c>
      <c r="B84" s="96" t="s">
        <v>166</v>
      </c>
      <c r="C84" s="77" t="s">
        <v>38</v>
      </c>
      <c r="D84" s="77"/>
      <c r="E84" s="77">
        <v>2024</v>
      </c>
      <c r="F84" s="77">
        <v>2026</v>
      </c>
      <c r="G84" s="77"/>
      <c r="H84" s="91"/>
      <c r="I84" s="105">
        <v>110000</v>
      </c>
      <c r="J84" s="105">
        <v>110000</v>
      </c>
      <c r="K84" s="105"/>
      <c r="L84" s="105"/>
      <c r="M84" s="113">
        <v>9160</v>
      </c>
      <c r="N84" s="105"/>
      <c r="O84" s="120"/>
      <c r="P84" s="16"/>
      <c r="Q84" s="16"/>
      <c r="R84" s="15">
        <f t="shared" si="43"/>
        <v>0</v>
      </c>
      <c r="S84" s="16"/>
      <c r="T84" s="16"/>
      <c r="U84" s="16">
        <v>500</v>
      </c>
      <c r="V84" s="16"/>
      <c r="W84" s="15">
        <f t="shared" si="44"/>
        <v>500</v>
      </c>
      <c r="X84" s="16">
        <v>500</v>
      </c>
      <c r="Y84" s="16"/>
      <c r="Z84" s="16"/>
      <c r="AA84" s="16"/>
      <c r="AB84" s="15">
        <f>AC84+AD84</f>
        <v>0</v>
      </c>
      <c r="AC84" s="16"/>
      <c r="AD84" s="16"/>
      <c r="AE84" s="16"/>
      <c r="AF84" s="90"/>
      <c r="AG84" s="90"/>
      <c r="AH84" s="90"/>
      <c r="AI84" s="90"/>
      <c r="AJ84" s="16"/>
      <c r="AK84" s="16"/>
      <c r="AL84" s="16"/>
      <c r="AM84" s="16"/>
      <c r="AN84" s="16"/>
      <c r="AO84" s="139">
        <f t="shared" si="41"/>
        <v>500</v>
      </c>
      <c r="AP84" s="141">
        <f t="shared" si="42"/>
        <v>8660</v>
      </c>
      <c r="AQ84" s="23" t="s">
        <v>351</v>
      </c>
      <c r="AR84" s="122" t="s">
        <v>356</v>
      </c>
      <c r="AS84" s="7"/>
      <c r="AT84" s="7"/>
      <c r="AU84" s="7">
        <v>1</v>
      </c>
      <c r="AV84" s="7"/>
    </row>
    <row r="85" spans="1:49" s="9" customFormat="1" ht="17.25">
      <c r="A85" s="81" t="s">
        <v>357</v>
      </c>
      <c r="B85" s="82" t="s">
        <v>167</v>
      </c>
      <c r="C85" s="77"/>
      <c r="D85" s="77"/>
      <c r="E85" s="77"/>
      <c r="F85" s="77"/>
      <c r="G85" s="77"/>
      <c r="H85" s="102"/>
      <c r="I85" s="104">
        <f>I86+I99+I114</f>
        <v>5978083.5</v>
      </c>
      <c r="J85" s="104">
        <f t="shared" ref="J85:AN85" si="48">J86+J99+J114</f>
        <v>4992657.5</v>
      </c>
      <c r="K85" s="104">
        <f t="shared" si="48"/>
        <v>1796015</v>
      </c>
      <c r="L85" s="104">
        <f t="shared" si="48"/>
        <v>1367760</v>
      </c>
      <c r="M85" s="104">
        <f>M86+M99+M114</f>
        <v>2953059.5</v>
      </c>
      <c r="N85" s="104">
        <f t="shared" si="48"/>
        <v>436520</v>
      </c>
      <c r="O85" s="104">
        <f t="shared" si="48"/>
        <v>0</v>
      </c>
      <c r="P85" s="104">
        <f t="shared" si="48"/>
        <v>479229</v>
      </c>
      <c r="Q85" s="104">
        <f t="shared" si="48"/>
        <v>7328.9249459999992</v>
      </c>
      <c r="R85" s="104">
        <f t="shared" si="48"/>
        <v>476638.502568</v>
      </c>
      <c r="S85" s="104">
        <f t="shared" si="48"/>
        <v>471638.74150599999</v>
      </c>
      <c r="T85" s="104">
        <f t="shared" si="48"/>
        <v>4999.7610620000005</v>
      </c>
      <c r="U85" s="104">
        <f t="shared" si="48"/>
        <v>880379</v>
      </c>
      <c r="V85" s="104">
        <f t="shared" si="48"/>
        <v>19776.258592000002</v>
      </c>
      <c r="W85" s="104">
        <f t="shared" si="48"/>
        <v>871643.46919999993</v>
      </c>
      <c r="X85" s="104">
        <f t="shared" si="48"/>
        <v>856739.65020000003</v>
      </c>
      <c r="Y85" s="104">
        <f t="shared" si="48"/>
        <v>14903.819</v>
      </c>
      <c r="Z85" s="104">
        <f t="shared" si="48"/>
        <v>501621</v>
      </c>
      <c r="AA85" s="104">
        <f t="shared" si="48"/>
        <v>0</v>
      </c>
      <c r="AB85" s="104">
        <f t="shared" si="48"/>
        <v>498515.21299999999</v>
      </c>
      <c r="AC85" s="104">
        <f t="shared" si="48"/>
        <v>498515.21299999999</v>
      </c>
      <c r="AD85" s="104">
        <f t="shared" si="48"/>
        <v>0</v>
      </c>
      <c r="AE85" s="104">
        <f t="shared" si="48"/>
        <v>610971.5</v>
      </c>
      <c r="AF85" s="104">
        <f t="shared" si="48"/>
        <v>0</v>
      </c>
      <c r="AG85" s="104">
        <f t="shared" si="48"/>
        <v>610971.5</v>
      </c>
      <c r="AH85" s="104">
        <f t="shared" si="48"/>
        <v>610971.5</v>
      </c>
      <c r="AI85" s="104">
        <f t="shared" si="48"/>
        <v>0</v>
      </c>
      <c r="AJ85" s="104">
        <f t="shared" si="48"/>
        <v>480859</v>
      </c>
      <c r="AK85" s="104">
        <f t="shared" si="48"/>
        <v>0</v>
      </c>
      <c r="AL85" s="104">
        <f t="shared" si="48"/>
        <v>0</v>
      </c>
      <c r="AM85" s="104">
        <f t="shared" si="48"/>
        <v>0</v>
      </c>
      <c r="AN85" s="104">
        <f t="shared" si="48"/>
        <v>0</v>
      </c>
      <c r="AO85" s="139">
        <f t="shared" si="41"/>
        <v>2472200.5</v>
      </c>
      <c r="AP85" s="141">
        <f t="shared" si="42"/>
        <v>480859</v>
      </c>
      <c r="AQ85" s="90"/>
      <c r="AS85" s="7"/>
      <c r="AT85" s="7"/>
      <c r="AU85" s="7"/>
      <c r="AV85" s="7"/>
      <c r="AW85" s="9">
        <f>M85/$M$14*100</f>
        <v>43.493100119968133</v>
      </c>
    </row>
    <row r="86" spans="1:49" s="9" customFormat="1" ht="30">
      <c r="A86" s="81" t="s">
        <v>120</v>
      </c>
      <c r="B86" s="82" t="s">
        <v>35</v>
      </c>
      <c r="C86" s="77"/>
      <c r="D86" s="77"/>
      <c r="E86" s="77"/>
      <c r="F86" s="77"/>
      <c r="G86" s="77"/>
      <c r="H86" s="102"/>
      <c r="I86" s="104">
        <f>SUM(I87:I98)</f>
        <v>3362023</v>
      </c>
      <c r="J86" s="104">
        <f t="shared" ref="J86:AN86" si="49">SUM(J87:J98)</f>
        <v>2696597</v>
      </c>
      <c r="K86" s="104">
        <f t="shared" si="49"/>
        <v>1796015</v>
      </c>
      <c r="L86" s="104">
        <f t="shared" si="49"/>
        <v>1367760</v>
      </c>
      <c r="M86" s="104">
        <f t="shared" si="49"/>
        <v>757229</v>
      </c>
      <c r="N86" s="104">
        <f t="shared" si="49"/>
        <v>436520</v>
      </c>
      <c r="O86" s="104">
        <f t="shared" si="49"/>
        <v>0</v>
      </c>
      <c r="P86" s="104">
        <f t="shared" si="49"/>
        <v>292229</v>
      </c>
      <c r="Q86" s="104">
        <f t="shared" si="49"/>
        <v>2826.694</v>
      </c>
      <c r="R86" s="104">
        <f t="shared" si="49"/>
        <v>289638.80582099996</v>
      </c>
      <c r="S86" s="104">
        <f t="shared" si="49"/>
        <v>289140.97570499999</v>
      </c>
      <c r="T86" s="104">
        <f t="shared" si="49"/>
        <v>497.83011599999998</v>
      </c>
      <c r="U86" s="104">
        <f t="shared" si="49"/>
        <v>105000</v>
      </c>
      <c r="V86" s="104">
        <f t="shared" si="49"/>
        <v>19776.258592000002</v>
      </c>
      <c r="W86" s="104">
        <f t="shared" si="49"/>
        <v>96264.469199999992</v>
      </c>
      <c r="X86" s="104">
        <f t="shared" si="49"/>
        <v>81360.650200000004</v>
      </c>
      <c r="Y86" s="104">
        <f t="shared" si="49"/>
        <v>14903.819</v>
      </c>
      <c r="Z86" s="104">
        <f t="shared" si="49"/>
        <v>0</v>
      </c>
      <c r="AA86" s="104">
        <f t="shared" si="49"/>
        <v>0</v>
      </c>
      <c r="AB86" s="104">
        <f t="shared" si="49"/>
        <v>0</v>
      </c>
      <c r="AC86" s="104">
        <f t="shared" si="49"/>
        <v>0</v>
      </c>
      <c r="AD86" s="104">
        <f t="shared" si="49"/>
        <v>0</v>
      </c>
      <c r="AE86" s="104">
        <f t="shared" si="49"/>
        <v>0</v>
      </c>
      <c r="AF86" s="104">
        <f t="shared" si="49"/>
        <v>0</v>
      </c>
      <c r="AG86" s="104">
        <f t="shared" si="49"/>
        <v>0</v>
      </c>
      <c r="AH86" s="104">
        <f t="shared" si="49"/>
        <v>0</v>
      </c>
      <c r="AI86" s="104">
        <f t="shared" si="49"/>
        <v>0</v>
      </c>
      <c r="AJ86" s="104">
        <f t="shared" si="49"/>
        <v>360000</v>
      </c>
      <c r="AK86" s="104">
        <f t="shared" si="49"/>
        <v>0</v>
      </c>
      <c r="AL86" s="104">
        <f t="shared" si="49"/>
        <v>0</v>
      </c>
      <c r="AM86" s="104">
        <f t="shared" si="49"/>
        <v>0</v>
      </c>
      <c r="AN86" s="104">
        <f t="shared" si="49"/>
        <v>0</v>
      </c>
      <c r="AO86" s="139">
        <f t="shared" si="41"/>
        <v>397229</v>
      </c>
      <c r="AP86" s="141">
        <f t="shared" si="42"/>
        <v>360000</v>
      </c>
      <c r="AQ86" s="90"/>
      <c r="AS86" s="7"/>
      <c r="AT86" s="7"/>
      <c r="AU86" s="7"/>
      <c r="AV86" s="7"/>
    </row>
    <row r="87" spans="1:49" s="9" customFormat="1" ht="46.15">
      <c r="A87" s="95">
        <v>1</v>
      </c>
      <c r="B87" s="96" t="s">
        <v>168</v>
      </c>
      <c r="C87" s="77" t="s">
        <v>38</v>
      </c>
      <c r="D87" s="77" t="s">
        <v>237</v>
      </c>
      <c r="E87" s="77">
        <v>2008</v>
      </c>
      <c r="F87" s="77">
        <v>2013</v>
      </c>
      <c r="G87" s="77" t="s">
        <v>264</v>
      </c>
      <c r="H87" s="91" t="s">
        <v>314</v>
      </c>
      <c r="I87" s="105">
        <v>340000</v>
      </c>
      <c r="J87" s="105">
        <v>50000</v>
      </c>
      <c r="K87" s="105">
        <v>331337</v>
      </c>
      <c r="L87" s="105">
        <v>41337</v>
      </c>
      <c r="M87" s="105">
        <v>7049</v>
      </c>
      <c r="N87" s="105"/>
      <c r="O87" s="106"/>
      <c r="P87" s="15">
        <v>7049</v>
      </c>
      <c r="Q87" s="15"/>
      <c r="R87" s="15">
        <f t="shared" si="43"/>
        <v>6999.2389999999996</v>
      </c>
      <c r="S87" s="15">
        <v>6999.2389999999996</v>
      </c>
      <c r="T87" s="15"/>
      <c r="U87" s="15"/>
      <c r="V87" s="15"/>
      <c r="W87" s="15">
        <f t="shared" si="44"/>
        <v>0</v>
      </c>
      <c r="X87" s="15"/>
      <c r="Y87" s="15"/>
      <c r="Z87" s="15"/>
      <c r="AA87" s="15"/>
      <c r="AB87" s="15">
        <f t="shared" ref="AB87:AB98" si="50">AC87+AD87</f>
        <v>0</v>
      </c>
      <c r="AC87" s="15"/>
      <c r="AD87" s="15"/>
      <c r="AE87" s="15"/>
      <c r="AF87" s="90"/>
      <c r="AG87" s="90"/>
      <c r="AH87" s="90"/>
      <c r="AI87" s="90"/>
      <c r="AJ87" s="90"/>
      <c r="AK87" s="90"/>
      <c r="AL87" s="90"/>
      <c r="AM87" s="90"/>
      <c r="AN87" s="90"/>
      <c r="AO87" s="139">
        <f t="shared" si="41"/>
        <v>7049</v>
      </c>
      <c r="AP87" s="141">
        <f t="shared" si="42"/>
        <v>0</v>
      </c>
      <c r="AQ87" s="90"/>
      <c r="AS87" s="7">
        <v>1</v>
      </c>
      <c r="AT87" s="7"/>
      <c r="AU87" s="7"/>
      <c r="AV87" s="7"/>
    </row>
    <row r="88" spans="1:49" s="9" customFormat="1" ht="26.25">
      <c r="A88" s="95">
        <v>2</v>
      </c>
      <c r="B88" s="96" t="s">
        <v>169</v>
      </c>
      <c r="C88" s="77" t="s">
        <v>38</v>
      </c>
      <c r="D88" s="77"/>
      <c r="E88" s="77"/>
      <c r="F88" s="77"/>
      <c r="G88" s="77"/>
      <c r="H88" s="91" t="s">
        <v>315</v>
      </c>
      <c r="I88" s="105">
        <v>862695</v>
      </c>
      <c r="J88" s="105">
        <v>862695</v>
      </c>
      <c r="K88" s="105"/>
      <c r="L88" s="105"/>
      <c r="M88" s="113">
        <v>360000</v>
      </c>
      <c r="N88" s="113">
        <v>360000</v>
      </c>
      <c r="O88" s="106"/>
      <c r="P88" s="15"/>
      <c r="Q88" s="15"/>
      <c r="R88" s="15"/>
      <c r="S88" s="15"/>
      <c r="T88" s="15"/>
      <c r="U88" s="15"/>
      <c r="V88" s="15"/>
      <c r="W88" s="15"/>
      <c r="X88" s="15"/>
      <c r="Y88" s="15"/>
      <c r="Z88" s="15"/>
      <c r="AA88" s="15"/>
      <c r="AB88" s="15"/>
      <c r="AC88" s="15"/>
      <c r="AD88" s="15"/>
      <c r="AE88" s="15"/>
      <c r="AF88" s="90"/>
      <c r="AG88" s="90"/>
      <c r="AH88" s="90"/>
      <c r="AI88" s="90"/>
      <c r="AJ88" s="113">
        <v>360000</v>
      </c>
      <c r="AK88" s="90"/>
      <c r="AL88" s="113"/>
      <c r="AM88" s="113"/>
      <c r="AN88" s="90"/>
      <c r="AO88" s="139">
        <f t="shared" si="41"/>
        <v>0</v>
      </c>
      <c r="AP88" s="141">
        <f t="shared" si="42"/>
        <v>360000</v>
      </c>
      <c r="AQ88" s="90"/>
      <c r="AS88" s="7">
        <v>1</v>
      </c>
      <c r="AT88" s="7"/>
      <c r="AU88" s="7"/>
      <c r="AV88" s="7"/>
    </row>
    <row r="89" spans="1:49" s="9" customFormat="1" ht="46.15">
      <c r="A89" s="95">
        <v>3</v>
      </c>
      <c r="B89" s="96" t="s">
        <v>170</v>
      </c>
      <c r="C89" s="77" t="s">
        <v>38</v>
      </c>
      <c r="D89" s="77" t="s">
        <v>238</v>
      </c>
      <c r="E89" s="77">
        <v>2017</v>
      </c>
      <c r="F89" s="77">
        <v>2021</v>
      </c>
      <c r="G89" s="77" t="s">
        <v>265</v>
      </c>
      <c r="H89" s="91" t="s">
        <v>316</v>
      </c>
      <c r="I89" s="105">
        <v>80000</v>
      </c>
      <c r="J89" s="105">
        <v>80000</v>
      </c>
      <c r="K89" s="105">
        <v>72000</v>
      </c>
      <c r="L89" s="105">
        <v>72000</v>
      </c>
      <c r="M89" s="105">
        <v>8000</v>
      </c>
      <c r="N89" s="105"/>
      <c r="O89" s="106"/>
      <c r="P89" s="15">
        <v>8000</v>
      </c>
      <c r="Q89" s="15"/>
      <c r="R89" s="15">
        <f t="shared" si="43"/>
        <v>8000</v>
      </c>
      <c r="S89" s="15">
        <v>8000</v>
      </c>
      <c r="T89" s="15"/>
      <c r="U89" s="15"/>
      <c r="V89" s="15"/>
      <c r="W89" s="15">
        <f t="shared" si="44"/>
        <v>0</v>
      </c>
      <c r="X89" s="15"/>
      <c r="Y89" s="15"/>
      <c r="Z89" s="15"/>
      <c r="AA89" s="15"/>
      <c r="AB89" s="15">
        <f t="shared" si="50"/>
        <v>0</v>
      </c>
      <c r="AC89" s="15"/>
      <c r="AD89" s="15"/>
      <c r="AE89" s="15"/>
      <c r="AF89" s="90"/>
      <c r="AG89" s="90"/>
      <c r="AH89" s="90"/>
      <c r="AI89" s="90"/>
      <c r="AJ89" s="90"/>
      <c r="AK89" s="90"/>
      <c r="AL89" s="90"/>
      <c r="AM89" s="90"/>
      <c r="AN89" s="90"/>
      <c r="AO89" s="139">
        <f t="shared" si="41"/>
        <v>8000</v>
      </c>
      <c r="AP89" s="141">
        <f t="shared" si="42"/>
        <v>0</v>
      </c>
      <c r="AQ89" s="90"/>
      <c r="AS89" s="7">
        <v>1</v>
      </c>
      <c r="AT89" s="7"/>
      <c r="AU89" s="7"/>
      <c r="AV89" s="7"/>
    </row>
    <row r="90" spans="1:49" s="9" customFormat="1" ht="30.75">
      <c r="A90" s="95">
        <v>4</v>
      </c>
      <c r="B90" s="96" t="s">
        <v>171</v>
      </c>
      <c r="C90" s="77" t="s">
        <v>38</v>
      </c>
      <c r="D90" s="77" t="s">
        <v>233</v>
      </c>
      <c r="E90" s="77">
        <v>2013</v>
      </c>
      <c r="F90" s="77">
        <v>2017</v>
      </c>
      <c r="G90" s="77" t="s">
        <v>266</v>
      </c>
      <c r="H90" s="91" t="s">
        <v>317</v>
      </c>
      <c r="I90" s="105">
        <v>165000</v>
      </c>
      <c r="J90" s="105">
        <v>150000</v>
      </c>
      <c r="K90" s="105">
        <v>142234</v>
      </c>
      <c r="L90" s="105">
        <v>135000</v>
      </c>
      <c r="M90" s="105">
        <v>6415</v>
      </c>
      <c r="N90" s="105"/>
      <c r="O90" s="106"/>
      <c r="P90" s="15">
        <v>6415</v>
      </c>
      <c r="Q90" s="15"/>
      <c r="R90" s="15">
        <f t="shared" si="43"/>
        <v>6415</v>
      </c>
      <c r="S90" s="15">
        <v>6415</v>
      </c>
      <c r="T90" s="15"/>
      <c r="U90" s="15"/>
      <c r="V90" s="15"/>
      <c r="W90" s="15">
        <f t="shared" si="44"/>
        <v>0</v>
      </c>
      <c r="X90" s="15"/>
      <c r="Y90" s="15"/>
      <c r="Z90" s="15"/>
      <c r="AA90" s="15"/>
      <c r="AB90" s="15">
        <f t="shared" si="50"/>
        <v>0</v>
      </c>
      <c r="AC90" s="15"/>
      <c r="AD90" s="15"/>
      <c r="AE90" s="15"/>
      <c r="AF90" s="90"/>
      <c r="AG90" s="90"/>
      <c r="AH90" s="90"/>
      <c r="AI90" s="90"/>
      <c r="AJ90" s="90"/>
      <c r="AK90" s="90"/>
      <c r="AL90" s="90"/>
      <c r="AM90" s="90"/>
      <c r="AN90" s="90"/>
      <c r="AO90" s="139">
        <f t="shared" si="41"/>
        <v>6415</v>
      </c>
      <c r="AP90" s="141">
        <f t="shared" si="42"/>
        <v>0</v>
      </c>
      <c r="AQ90" s="90"/>
      <c r="AS90" s="7">
        <v>1</v>
      </c>
      <c r="AT90" s="7"/>
      <c r="AU90" s="7"/>
      <c r="AV90" s="7"/>
    </row>
    <row r="91" spans="1:49" s="9" customFormat="1" ht="73.5" customHeight="1">
      <c r="A91" s="95">
        <v>5</v>
      </c>
      <c r="B91" s="96" t="s">
        <v>172</v>
      </c>
      <c r="C91" s="77" t="s">
        <v>38</v>
      </c>
      <c r="D91" s="77" t="s">
        <v>238</v>
      </c>
      <c r="E91" s="77">
        <v>2015</v>
      </c>
      <c r="F91" s="77">
        <v>2021</v>
      </c>
      <c r="G91" s="77" t="s">
        <v>267</v>
      </c>
      <c r="H91" s="91" t="s">
        <v>318</v>
      </c>
      <c r="I91" s="105">
        <v>105000</v>
      </c>
      <c r="J91" s="105">
        <v>94500</v>
      </c>
      <c r="K91" s="105">
        <f>85000-9773</f>
        <v>75227</v>
      </c>
      <c r="L91" s="105">
        <f>81000-9773</f>
        <v>71227</v>
      </c>
      <c r="M91" s="105">
        <v>13000</v>
      </c>
      <c r="N91" s="105"/>
      <c r="O91" s="106"/>
      <c r="P91" s="15">
        <v>13000</v>
      </c>
      <c r="Q91" s="15"/>
      <c r="R91" s="15">
        <f t="shared" si="43"/>
        <v>13000</v>
      </c>
      <c r="S91" s="15">
        <v>13000</v>
      </c>
      <c r="T91" s="15"/>
      <c r="U91" s="15"/>
      <c r="V91" s="15"/>
      <c r="W91" s="15">
        <f t="shared" si="44"/>
        <v>0</v>
      </c>
      <c r="X91" s="15"/>
      <c r="Y91" s="15"/>
      <c r="Z91" s="15"/>
      <c r="AA91" s="15"/>
      <c r="AB91" s="15">
        <f t="shared" si="50"/>
        <v>0</v>
      </c>
      <c r="AC91" s="15"/>
      <c r="AD91" s="15"/>
      <c r="AE91" s="15"/>
      <c r="AF91" s="90"/>
      <c r="AG91" s="90"/>
      <c r="AH91" s="90"/>
      <c r="AI91" s="90"/>
      <c r="AJ91" s="90"/>
      <c r="AK91" s="90"/>
      <c r="AL91" s="90"/>
      <c r="AM91" s="90"/>
      <c r="AN91" s="90"/>
      <c r="AO91" s="139">
        <f t="shared" si="41"/>
        <v>13000</v>
      </c>
      <c r="AP91" s="141">
        <f t="shared" si="42"/>
        <v>0</v>
      </c>
      <c r="AQ91" s="90"/>
      <c r="AS91" s="7">
        <v>1</v>
      </c>
      <c r="AT91" s="7"/>
      <c r="AU91" s="7"/>
      <c r="AV91" s="7"/>
    </row>
    <row r="92" spans="1:49" s="9" customFormat="1" ht="17.649999999999999">
      <c r="A92" s="95">
        <v>6</v>
      </c>
      <c r="B92" s="96" t="s">
        <v>173</v>
      </c>
      <c r="C92" s="77" t="s">
        <v>38</v>
      </c>
      <c r="D92" s="77" t="s">
        <v>233</v>
      </c>
      <c r="E92" s="77">
        <v>2015</v>
      </c>
      <c r="F92" s="77">
        <v>2021</v>
      </c>
      <c r="G92" s="77" t="s">
        <v>268</v>
      </c>
      <c r="H92" s="91" t="s">
        <v>319</v>
      </c>
      <c r="I92" s="105">
        <v>111000</v>
      </c>
      <c r="J92" s="105">
        <v>99900</v>
      </c>
      <c r="K92" s="105">
        <v>99900</v>
      </c>
      <c r="L92" s="105">
        <v>89910</v>
      </c>
      <c r="M92" s="105">
        <v>9990</v>
      </c>
      <c r="N92" s="105"/>
      <c r="O92" s="106"/>
      <c r="P92" s="15">
        <v>9990</v>
      </c>
      <c r="Q92" s="15">
        <v>804.43799999999999</v>
      </c>
      <c r="R92" s="15">
        <f t="shared" si="43"/>
        <v>9185.5622000000003</v>
      </c>
      <c r="S92" s="15">
        <v>9185.5622000000003</v>
      </c>
      <c r="T92" s="15"/>
      <c r="U92" s="15"/>
      <c r="V92" s="15"/>
      <c r="W92" s="15">
        <f t="shared" si="44"/>
        <v>0</v>
      </c>
      <c r="X92" s="15"/>
      <c r="Y92" s="15"/>
      <c r="Z92" s="15"/>
      <c r="AA92" s="15"/>
      <c r="AB92" s="15">
        <f t="shared" si="50"/>
        <v>0</v>
      </c>
      <c r="AC92" s="15"/>
      <c r="AD92" s="15"/>
      <c r="AE92" s="15"/>
      <c r="AF92" s="90"/>
      <c r="AG92" s="90"/>
      <c r="AH92" s="90"/>
      <c r="AI92" s="90"/>
      <c r="AJ92" s="90"/>
      <c r="AK92" s="90"/>
      <c r="AL92" s="90"/>
      <c r="AM92" s="90"/>
      <c r="AN92" s="90"/>
      <c r="AO92" s="139">
        <f t="shared" si="41"/>
        <v>9990</v>
      </c>
      <c r="AP92" s="141">
        <f t="shared" si="42"/>
        <v>0</v>
      </c>
      <c r="AQ92" s="90"/>
      <c r="AS92" s="7">
        <v>1</v>
      </c>
      <c r="AT92" s="7"/>
      <c r="AU92" s="7"/>
      <c r="AV92" s="7"/>
    </row>
    <row r="93" spans="1:49" s="9" customFormat="1" ht="92.25">
      <c r="A93" s="95">
        <v>7</v>
      </c>
      <c r="B93" s="96" t="s">
        <v>174</v>
      </c>
      <c r="C93" s="77" t="s">
        <v>38</v>
      </c>
      <c r="D93" s="77" t="s">
        <v>239</v>
      </c>
      <c r="E93" s="77">
        <v>2017</v>
      </c>
      <c r="F93" s="77">
        <v>2020</v>
      </c>
      <c r="G93" s="77" t="s">
        <v>269</v>
      </c>
      <c r="H93" s="91" t="s">
        <v>320</v>
      </c>
      <c r="I93" s="105">
        <v>690000</v>
      </c>
      <c r="J93" s="105">
        <v>690000</v>
      </c>
      <c r="K93" s="105">
        <v>580876</v>
      </c>
      <c r="L93" s="105">
        <v>580876</v>
      </c>
      <c r="M93" s="105">
        <v>109124</v>
      </c>
      <c r="N93" s="105"/>
      <c r="O93" s="120"/>
      <c r="P93" s="16">
        <v>109124</v>
      </c>
      <c r="Q93" s="16"/>
      <c r="R93" s="15">
        <f t="shared" si="43"/>
        <v>109124</v>
      </c>
      <c r="S93" s="16">
        <v>109124</v>
      </c>
      <c r="T93" s="16"/>
      <c r="U93" s="16"/>
      <c r="V93" s="16"/>
      <c r="W93" s="15">
        <f t="shared" si="44"/>
        <v>0</v>
      </c>
      <c r="X93" s="16"/>
      <c r="Y93" s="16"/>
      <c r="Z93" s="16"/>
      <c r="AA93" s="16"/>
      <c r="AB93" s="15">
        <f t="shared" si="50"/>
        <v>0</v>
      </c>
      <c r="AC93" s="16"/>
      <c r="AD93" s="16"/>
      <c r="AE93" s="16"/>
      <c r="AF93" s="90"/>
      <c r="AG93" s="90"/>
      <c r="AH93" s="90"/>
      <c r="AI93" s="90"/>
      <c r="AJ93" s="90"/>
      <c r="AK93" s="90"/>
      <c r="AL93" s="90"/>
      <c r="AM93" s="90"/>
      <c r="AN93" s="90"/>
      <c r="AO93" s="139">
        <f t="shared" si="41"/>
        <v>109124</v>
      </c>
      <c r="AP93" s="141">
        <f t="shared" si="42"/>
        <v>0</v>
      </c>
      <c r="AQ93" s="90"/>
      <c r="AS93" s="7">
        <v>1</v>
      </c>
      <c r="AT93" s="7"/>
      <c r="AU93" s="7"/>
      <c r="AV93" s="7"/>
    </row>
    <row r="94" spans="1:49" s="9" customFormat="1" ht="39.4">
      <c r="A94" s="95">
        <v>8</v>
      </c>
      <c r="B94" s="96" t="s">
        <v>175</v>
      </c>
      <c r="C94" s="77" t="s">
        <v>38</v>
      </c>
      <c r="D94" s="77" t="s">
        <v>240</v>
      </c>
      <c r="E94" s="77">
        <v>2011</v>
      </c>
      <c r="F94" s="77">
        <v>2014</v>
      </c>
      <c r="G94" s="77" t="s">
        <v>270</v>
      </c>
      <c r="H94" s="91" t="s">
        <v>321</v>
      </c>
      <c r="I94" s="105">
        <v>179338</v>
      </c>
      <c r="J94" s="105">
        <v>179338</v>
      </c>
      <c r="K94" s="105">
        <v>29246</v>
      </c>
      <c r="L94" s="105">
        <v>29246</v>
      </c>
      <c r="M94" s="105">
        <v>76520</v>
      </c>
      <c r="N94" s="105">
        <v>76520</v>
      </c>
      <c r="O94" s="106"/>
      <c r="P94" s="15">
        <v>76520</v>
      </c>
      <c r="Q94" s="15"/>
      <c r="R94" s="15">
        <f t="shared" si="43"/>
        <v>76520</v>
      </c>
      <c r="S94" s="15">
        <v>76520</v>
      </c>
      <c r="T94" s="15"/>
      <c r="U94" s="15"/>
      <c r="V94" s="15"/>
      <c r="W94" s="15">
        <f t="shared" si="44"/>
        <v>0</v>
      </c>
      <c r="X94" s="15"/>
      <c r="Y94" s="15"/>
      <c r="Z94" s="15"/>
      <c r="AA94" s="15"/>
      <c r="AB94" s="15">
        <f t="shared" si="50"/>
        <v>0</v>
      </c>
      <c r="AC94" s="15"/>
      <c r="AD94" s="15"/>
      <c r="AE94" s="15"/>
      <c r="AF94" s="90"/>
      <c r="AG94" s="90"/>
      <c r="AH94" s="90"/>
      <c r="AI94" s="90"/>
      <c r="AJ94" s="90"/>
      <c r="AK94" s="90"/>
      <c r="AL94" s="90"/>
      <c r="AM94" s="90"/>
      <c r="AN94" s="90"/>
      <c r="AO94" s="139">
        <f t="shared" si="41"/>
        <v>76520</v>
      </c>
      <c r="AP94" s="141">
        <f t="shared" si="42"/>
        <v>0</v>
      </c>
      <c r="AQ94" s="90"/>
      <c r="AS94" s="7">
        <v>1</v>
      </c>
      <c r="AT94" s="7"/>
      <c r="AU94" s="7"/>
      <c r="AV94" s="7"/>
    </row>
    <row r="95" spans="1:49" s="9" customFormat="1" ht="78.75">
      <c r="A95" s="95">
        <v>9</v>
      </c>
      <c r="B95" s="96" t="s">
        <v>176</v>
      </c>
      <c r="C95" s="77" t="s">
        <v>38</v>
      </c>
      <c r="D95" s="77" t="s">
        <v>225</v>
      </c>
      <c r="E95" s="77">
        <v>2013</v>
      </c>
      <c r="F95" s="77">
        <v>2021</v>
      </c>
      <c r="G95" s="77" t="s">
        <v>271</v>
      </c>
      <c r="H95" s="91" t="s">
        <v>322</v>
      </c>
      <c r="I95" s="105">
        <v>439300</v>
      </c>
      <c r="J95" s="105">
        <v>317060</v>
      </c>
      <c r="K95" s="105">
        <v>396960</v>
      </c>
      <c r="L95" s="105">
        <v>279929</v>
      </c>
      <c r="M95" s="105">
        <f>42340-16889+11680</f>
        <v>37131</v>
      </c>
      <c r="N95" s="105"/>
      <c r="O95" s="120"/>
      <c r="P95" s="16">
        <v>37131</v>
      </c>
      <c r="Q95" s="16">
        <v>2022.2560000000001</v>
      </c>
      <c r="R95" s="15">
        <f t="shared" si="43"/>
        <v>35606.573839999997</v>
      </c>
      <c r="S95" s="16">
        <v>35108.743724</v>
      </c>
      <c r="T95" s="16">
        <v>497.83011599999998</v>
      </c>
      <c r="U95" s="16"/>
      <c r="V95" s="16"/>
      <c r="W95" s="15">
        <f t="shared" si="44"/>
        <v>0</v>
      </c>
      <c r="X95" s="16"/>
      <c r="Y95" s="16"/>
      <c r="Z95" s="16"/>
      <c r="AA95" s="16"/>
      <c r="AB95" s="15">
        <f t="shared" si="50"/>
        <v>0</v>
      </c>
      <c r="AC95" s="16"/>
      <c r="AD95" s="16"/>
      <c r="AE95" s="16"/>
      <c r="AF95" s="90"/>
      <c r="AG95" s="90"/>
      <c r="AH95" s="90"/>
      <c r="AI95" s="90"/>
      <c r="AJ95" s="90"/>
      <c r="AK95" s="90"/>
      <c r="AL95" s="90"/>
      <c r="AM95" s="90"/>
      <c r="AN95" s="90"/>
      <c r="AO95" s="139">
        <f t="shared" si="41"/>
        <v>37131</v>
      </c>
      <c r="AP95" s="141">
        <f t="shared" si="42"/>
        <v>0</v>
      </c>
      <c r="AQ95" s="90"/>
      <c r="AS95" s="7">
        <v>1</v>
      </c>
      <c r="AT95" s="7"/>
      <c r="AU95" s="7"/>
      <c r="AV95" s="7"/>
    </row>
    <row r="96" spans="1:49" s="9" customFormat="1" ht="52.5">
      <c r="A96" s="95">
        <v>10</v>
      </c>
      <c r="B96" s="96" t="s">
        <v>177</v>
      </c>
      <c r="C96" s="77" t="s">
        <v>38</v>
      </c>
      <c r="D96" s="77" t="s">
        <v>225</v>
      </c>
      <c r="E96" s="77">
        <v>2011</v>
      </c>
      <c r="F96" s="77">
        <v>2023</v>
      </c>
      <c r="G96" s="77" t="s">
        <v>272</v>
      </c>
      <c r="H96" s="91" t="s">
        <v>323</v>
      </c>
      <c r="I96" s="105">
        <v>178200</v>
      </c>
      <c r="J96" s="105">
        <v>53104</v>
      </c>
      <c r="K96" s="105">
        <v>18356</v>
      </c>
      <c r="L96" s="105">
        <v>18356</v>
      </c>
      <c r="M96" s="105">
        <v>35000</v>
      </c>
      <c r="N96" s="105"/>
      <c r="O96" s="105"/>
      <c r="P96" s="15"/>
      <c r="Q96" s="15"/>
      <c r="R96" s="15">
        <f t="shared" si="43"/>
        <v>0</v>
      </c>
      <c r="S96" s="15"/>
      <c r="T96" s="15"/>
      <c r="U96" s="15">
        <v>35000</v>
      </c>
      <c r="V96" s="15">
        <v>17790.826592000001</v>
      </c>
      <c r="W96" s="15">
        <f t="shared" si="44"/>
        <v>31859.411408</v>
      </c>
      <c r="X96" s="15">
        <v>17209.173407999999</v>
      </c>
      <c r="Y96" s="15">
        <v>14650.237999999999</v>
      </c>
      <c r="Z96" s="15"/>
      <c r="AA96" s="15"/>
      <c r="AB96" s="15">
        <f t="shared" si="50"/>
        <v>0</v>
      </c>
      <c r="AC96" s="15"/>
      <c r="AD96" s="15"/>
      <c r="AE96" s="15"/>
      <c r="AF96" s="90"/>
      <c r="AG96" s="90"/>
      <c r="AH96" s="90"/>
      <c r="AI96" s="90"/>
      <c r="AJ96" s="90"/>
      <c r="AK96" s="90"/>
      <c r="AL96" s="90"/>
      <c r="AM96" s="90"/>
      <c r="AN96" s="90"/>
      <c r="AO96" s="139">
        <f t="shared" si="41"/>
        <v>35000</v>
      </c>
      <c r="AP96" s="141">
        <f t="shared" si="42"/>
        <v>0</v>
      </c>
      <c r="AQ96" s="90"/>
      <c r="AS96" s="7">
        <v>1</v>
      </c>
      <c r="AT96" s="7"/>
      <c r="AU96" s="7"/>
      <c r="AV96" s="7"/>
    </row>
    <row r="97" spans="1:48" s="9" customFormat="1" ht="52.5">
      <c r="A97" s="95">
        <v>11</v>
      </c>
      <c r="B97" s="96" t="s">
        <v>178</v>
      </c>
      <c r="C97" s="77" t="s">
        <v>38</v>
      </c>
      <c r="D97" s="77" t="s">
        <v>241</v>
      </c>
      <c r="E97" s="77">
        <v>2010</v>
      </c>
      <c r="F97" s="77">
        <v>2023</v>
      </c>
      <c r="G97" s="77" t="s">
        <v>273</v>
      </c>
      <c r="H97" s="91" t="s">
        <v>324</v>
      </c>
      <c r="I97" s="105">
        <v>131490</v>
      </c>
      <c r="J97" s="105">
        <v>40000</v>
      </c>
      <c r="K97" s="105">
        <f>L97</f>
        <v>29879</v>
      </c>
      <c r="L97" s="105">
        <v>29879</v>
      </c>
      <c r="M97" s="105">
        <v>40000</v>
      </c>
      <c r="N97" s="105"/>
      <c r="O97" s="105"/>
      <c r="P97" s="15"/>
      <c r="Q97" s="15"/>
      <c r="R97" s="15">
        <f t="shared" si="43"/>
        <v>0</v>
      </c>
      <c r="S97" s="15"/>
      <c r="T97" s="15"/>
      <c r="U97" s="15">
        <v>40000</v>
      </c>
      <c r="V97" s="15">
        <v>1985.4320000000007</v>
      </c>
      <c r="W97" s="15">
        <f t="shared" si="44"/>
        <v>38268.148999999998</v>
      </c>
      <c r="X97" s="15">
        <v>38014.567999999999</v>
      </c>
      <c r="Y97" s="15">
        <v>253.58099999999999</v>
      </c>
      <c r="Z97" s="15"/>
      <c r="AA97" s="15"/>
      <c r="AB97" s="15">
        <f t="shared" si="50"/>
        <v>0</v>
      </c>
      <c r="AC97" s="15"/>
      <c r="AD97" s="15"/>
      <c r="AE97" s="15"/>
      <c r="AF97" s="90"/>
      <c r="AG97" s="90"/>
      <c r="AH97" s="90"/>
      <c r="AI97" s="90"/>
      <c r="AJ97" s="90"/>
      <c r="AK97" s="90"/>
      <c r="AL97" s="90"/>
      <c r="AM97" s="90"/>
      <c r="AN97" s="90"/>
      <c r="AO97" s="139">
        <f t="shared" si="41"/>
        <v>40000</v>
      </c>
      <c r="AP97" s="141">
        <f t="shared" si="42"/>
        <v>0</v>
      </c>
      <c r="AQ97" s="90"/>
      <c r="AS97" s="7">
        <v>1</v>
      </c>
      <c r="AT97" s="7"/>
      <c r="AU97" s="7"/>
      <c r="AV97" s="7"/>
    </row>
    <row r="98" spans="1:48" s="9" customFormat="1" ht="52.5">
      <c r="A98" s="95">
        <v>12</v>
      </c>
      <c r="B98" s="96" t="s">
        <v>179</v>
      </c>
      <c r="C98" s="77" t="s">
        <v>38</v>
      </c>
      <c r="D98" s="77" t="s">
        <v>240</v>
      </c>
      <c r="E98" s="77">
        <v>2018</v>
      </c>
      <c r="F98" s="77">
        <v>2022</v>
      </c>
      <c r="G98" s="77" t="s">
        <v>274</v>
      </c>
      <c r="H98" s="91" t="s">
        <v>325</v>
      </c>
      <c r="I98" s="105">
        <v>80000</v>
      </c>
      <c r="J98" s="105">
        <v>80000</v>
      </c>
      <c r="K98" s="105">
        <v>20000</v>
      </c>
      <c r="L98" s="105">
        <v>20000</v>
      </c>
      <c r="M98" s="105">
        <v>55000</v>
      </c>
      <c r="N98" s="105"/>
      <c r="O98" s="106"/>
      <c r="P98" s="15">
        <v>25000</v>
      </c>
      <c r="Q98" s="15"/>
      <c r="R98" s="15">
        <f t="shared" si="43"/>
        <v>24788.430780999999</v>
      </c>
      <c r="S98" s="15">
        <v>24788.430780999999</v>
      </c>
      <c r="T98" s="15"/>
      <c r="U98" s="15">
        <v>30000</v>
      </c>
      <c r="V98" s="15"/>
      <c r="W98" s="15">
        <f t="shared" si="44"/>
        <v>26136.908791999998</v>
      </c>
      <c r="X98" s="15">
        <v>26136.908791999998</v>
      </c>
      <c r="Y98" s="15"/>
      <c r="Z98" s="15"/>
      <c r="AA98" s="15"/>
      <c r="AB98" s="15">
        <f t="shared" si="50"/>
        <v>0</v>
      </c>
      <c r="AC98" s="15"/>
      <c r="AD98" s="15"/>
      <c r="AE98" s="15"/>
      <c r="AF98" s="90"/>
      <c r="AG98" s="90"/>
      <c r="AH98" s="90"/>
      <c r="AI98" s="90"/>
      <c r="AJ98" s="90"/>
      <c r="AK98" s="90"/>
      <c r="AL98" s="90"/>
      <c r="AM98" s="90"/>
      <c r="AN98" s="90"/>
      <c r="AO98" s="139">
        <f t="shared" si="41"/>
        <v>55000</v>
      </c>
      <c r="AP98" s="141">
        <f t="shared" si="42"/>
        <v>0</v>
      </c>
      <c r="AQ98" s="90"/>
      <c r="AS98" s="7">
        <v>1</v>
      </c>
      <c r="AT98" s="7"/>
      <c r="AU98" s="7"/>
      <c r="AV98" s="7"/>
    </row>
    <row r="99" spans="1:48" s="9" customFormat="1" ht="30">
      <c r="A99" s="81" t="s">
        <v>122</v>
      </c>
      <c r="B99" s="82" t="s">
        <v>36</v>
      </c>
      <c r="C99" s="77"/>
      <c r="D99" s="77"/>
      <c r="E99" s="77"/>
      <c r="F99" s="77"/>
      <c r="G99" s="77"/>
      <c r="H99" s="102"/>
      <c r="I99" s="104">
        <f>I100+I110</f>
        <v>2616060.5</v>
      </c>
      <c r="J99" s="104">
        <f t="shared" ref="J99:AN99" si="51">J100+J110</f>
        <v>2296060.5</v>
      </c>
      <c r="K99" s="104">
        <f t="shared" si="51"/>
        <v>0</v>
      </c>
      <c r="L99" s="104">
        <f t="shared" si="51"/>
        <v>0</v>
      </c>
      <c r="M99" s="104">
        <f t="shared" si="51"/>
        <v>2195830.5</v>
      </c>
      <c r="N99" s="104">
        <f t="shared" si="51"/>
        <v>0</v>
      </c>
      <c r="O99" s="104">
        <f t="shared" si="51"/>
        <v>0</v>
      </c>
      <c r="P99" s="104">
        <f t="shared" si="51"/>
        <v>187000</v>
      </c>
      <c r="Q99" s="104">
        <f t="shared" si="51"/>
        <v>4502.2309459999997</v>
      </c>
      <c r="R99" s="104">
        <f t="shared" si="51"/>
        <v>186999.69674700001</v>
      </c>
      <c r="S99" s="104">
        <f t="shared" si="51"/>
        <v>182497.765801</v>
      </c>
      <c r="T99" s="104">
        <f t="shared" si="51"/>
        <v>4501.9309460000004</v>
      </c>
      <c r="U99" s="104">
        <f t="shared" si="51"/>
        <v>775379</v>
      </c>
      <c r="V99" s="104">
        <f t="shared" si="51"/>
        <v>0</v>
      </c>
      <c r="W99" s="104">
        <f t="shared" si="51"/>
        <v>775379</v>
      </c>
      <c r="X99" s="104">
        <f t="shared" si="51"/>
        <v>775379</v>
      </c>
      <c r="Y99" s="104">
        <f t="shared" si="51"/>
        <v>0</v>
      </c>
      <c r="Z99" s="104">
        <f t="shared" si="51"/>
        <v>501621</v>
      </c>
      <c r="AA99" s="104">
        <f t="shared" si="51"/>
        <v>0</v>
      </c>
      <c r="AB99" s="104">
        <f t="shared" si="51"/>
        <v>498515.21299999999</v>
      </c>
      <c r="AC99" s="104">
        <f t="shared" si="51"/>
        <v>498515.21299999999</v>
      </c>
      <c r="AD99" s="104">
        <f t="shared" si="51"/>
        <v>0</v>
      </c>
      <c r="AE99" s="104">
        <f t="shared" si="51"/>
        <v>610971.5</v>
      </c>
      <c r="AF99" s="104">
        <f t="shared" si="51"/>
        <v>0</v>
      </c>
      <c r="AG99" s="104">
        <f t="shared" si="51"/>
        <v>610971.5</v>
      </c>
      <c r="AH99" s="104">
        <f t="shared" si="51"/>
        <v>610971.5</v>
      </c>
      <c r="AI99" s="104">
        <f t="shared" si="51"/>
        <v>0</v>
      </c>
      <c r="AJ99" s="104">
        <f t="shared" si="51"/>
        <v>120859</v>
      </c>
      <c r="AK99" s="104">
        <f t="shared" si="51"/>
        <v>0</v>
      </c>
      <c r="AL99" s="104">
        <f t="shared" si="51"/>
        <v>0</v>
      </c>
      <c r="AM99" s="104">
        <f t="shared" si="51"/>
        <v>0</v>
      </c>
      <c r="AN99" s="104">
        <f t="shared" si="51"/>
        <v>0</v>
      </c>
      <c r="AO99" s="139">
        <f t="shared" si="41"/>
        <v>2074971.5</v>
      </c>
      <c r="AP99" s="141">
        <f t="shared" si="42"/>
        <v>120859</v>
      </c>
      <c r="AQ99" s="90"/>
      <c r="AS99" s="7"/>
      <c r="AT99" s="7"/>
      <c r="AU99" s="7"/>
      <c r="AV99" s="7"/>
    </row>
    <row r="100" spans="1:48" s="9" customFormat="1" ht="30">
      <c r="A100" s="85" t="s">
        <v>96</v>
      </c>
      <c r="B100" s="86" t="s">
        <v>123</v>
      </c>
      <c r="C100" s="77"/>
      <c r="D100" s="77"/>
      <c r="E100" s="77"/>
      <c r="F100" s="77"/>
      <c r="G100" s="77"/>
      <c r="H100" s="107"/>
      <c r="I100" s="108">
        <f>SUM(I101:I109)</f>
        <v>2361060.5</v>
      </c>
      <c r="J100" s="108">
        <f t="shared" ref="J100:AN100" si="52">SUM(J101:J109)</f>
        <v>2041060.5</v>
      </c>
      <c r="K100" s="108">
        <f t="shared" si="52"/>
        <v>0</v>
      </c>
      <c r="L100" s="108">
        <f t="shared" si="52"/>
        <v>0</v>
      </c>
      <c r="M100" s="108">
        <f t="shared" si="52"/>
        <v>2041060.5</v>
      </c>
      <c r="N100" s="108">
        <f t="shared" si="52"/>
        <v>0</v>
      </c>
      <c r="O100" s="108">
        <f t="shared" si="52"/>
        <v>0</v>
      </c>
      <c r="P100" s="108">
        <f t="shared" si="52"/>
        <v>187000</v>
      </c>
      <c r="Q100" s="108">
        <f t="shared" si="52"/>
        <v>4502.2309459999997</v>
      </c>
      <c r="R100" s="108">
        <f t="shared" si="52"/>
        <v>186999.69674700001</v>
      </c>
      <c r="S100" s="108">
        <f t="shared" si="52"/>
        <v>182497.765801</v>
      </c>
      <c r="T100" s="108">
        <f t="shared" si="52"/>
        <v>4501.9309460000004</v>
      </c>
      <c r="U100" s="108">
        <f t="shared" si="52"/>
        <v>774379</v>
      </c>
      <c r="V100" s="108">
        <f t="shared" si="52"/>
        <v>0</v>
      </c>
      <c r="W100" s="108">
        <f t="shared" si="52"/>
        <v>774379</v>
      </c>
      <c r="X100" s="108">
        <f t="shared" si="52"/>
        <v>774379</v>
      </c>
      <c r="Y100" s="108">
        <f t="shared" si="52"/>
        <v>0</v>
      </c>
      <c r="Z100" s="108">
        <f t="shared" si="52"/>
        <v>453621</v>
      </c>
      <c r="AA100" s="108">
        <f t="shared" si="52"/>
        <v>0</v>
      </c>
      <c r="AB100" s="108">
        <f t="shared" si="52"/>
        <v>450515.21299999999</v>
      </c>
      <c r="AC100" s="108">
        <f t="shared" si="52"/>
        <v>450515.21299999999</v>
      </c>
      <c r="AD100" s="108">
        <f t="shared" si="52"/>
        <v>0</v>
      </c>
      <c r="AE100" s="108">
        <f t="shared" si="52"/>
        <v>578060.5</v>
      </c>
      <c r="AF100" s="108">
        <f t="shared" si="52"/>
        <v>0</v>
      </c>
      <c r="AG100" s="108">
        <f t="shared" si="52"/>
        <v>578060.5</v>
      </c>
      <c r="AH100" s="108">
        <f t="shared" si="52"/>
        <v>578060.5</v>
      </c>
      <c r="AI100" s="108">
        <f t="shared" si="52"/>
        <v>0</v>
      </c>
      <c r="AJ100" s="108">
        <f t="shared" si="52"/>
        <v>48000</v>
      </c>
      <c r="AK100" s="108">
        <f t="shared" si="52"/>
        <v>0</v>
      </c>
      <c r="AL100" s="108">
        <f t="shared" si="52"/>
        <v>0</v>
      </c>
      <c r="AM100" s="108">
        <f t="shared" si="52"/>
        <v>0</v>
      </c>
      <c r="AN100" s="108">
        <f t="shared" si="52"/>
        <v>0</v>
      </c>
      <c r="AO100" s="139">
        <f t="shared" si="41"/>
        <v>1993060.5</v>
      </c>
      <c r="AP100" s="141">
        <f t="shared" si="42"/>
        <v>48000</v>
      </c>
      <c r="AQ100" s="90"/>
      <c r="AS100" s="7"/>
      <c r="AT100" s="7"/>
      <c r="AU100" s="7"/>
      <c r="AV100" s="7"/>
    </row>
    <row r="101" spans="1:48" s="9" customFormat="1" ht="78.75">
      <c r="A101" s="95">
        <v>1</v>
      </c>
      <c r="B101" s="96" t="s">
        <v>180</v>
      </c>
      <c r="C101" s="77" t="s">
        <v>38</v>
      </c>
      <c r="D101" s="77" t="s">
        <v>242</v>
      </c>
      <c r="E101" s="77">
        <v>2021</v>
      </c>
      <c r="F101" s="77">
        <v>2024</v>
      </c>
      <c r="G101" s="77" t="s">
        <v>275</v>
      </c>
      <c r="H101" s="91" t="s">
        <v>977</v>
      </c>
      <c r="I101" s="105">
        <v>1300000</v>
      </c>
      <c r="J101" s="105">
        <v>980000</v>
      </c>
      <c r="K101" s="105"/>
      <c r="L101" s="105"/>
      <c r="M101" s="105">
        <v>980000</v>
      </c>
      <c r="N101" s="105"/>
      <c r="O101" s="105"/>
      <c r="P101" s="15">
        <v>150000</v>
      </c>
      <c r="Q101" s="15"/>
      <c r="R101" s="15">
        <f t="shared" si="43"/>
        <v>149999.996747</v>
      </c>
      <c r="S101" s="15">
        <v>149999.996747</v>
      </c>
      <c r="T101" s="15"/>
      <c r="U101" s="15">
        <v>380000</v>
      </c>
      <c r="V101" s="15"/>
      <c r="W101" s="15">
        <f t="shared" si="44"/>
        <v>380000</v>
      </c>
      <c r="X101" s="15">
        <v>380000</v>
      </c>
      <c r="Y101" s="15"/>
      <c r="Z101" s="15">
        <v>115000</v>
      </c>
      <c r="AA101" s="15"/>
      <c r="AB101" s="15">
        <f t="shared" ref="AB101:AB113" si="53">AC101+AD101</f>
        <v>115000</v>
      </c>
      <c r="AC101" s="15">
        <v>115000</v>
      </c>
      <c r="AD101" s="15"/>
      <c r="AE101" s="15">
        <v>335000</v>
      </c>
      <c r="AF101" s="90"/>
      <c r="AG101" s="15">
        <v>335000</v>
      </c>
      <c r="AH101" s="15">
        <v>335000</v>
      </c>
      <c r="AI101" s="90"/>
      <c r="AJ101" s="90"/>
      <c r="AK101" s="90"/>
      <c r="AL101" s="90"/>
      <c r="AM101" s="90"/>
      <c r="AN101" s="90"/>
      <c r="AO101" s="139">
        <f t="shared" si="41"/>
        <v>980000</v>
      </c>
      <c r="AP101" s="141">
        <f t="shared" si="42"/>
        <v>0</v>
      </c>
      <c r="AQ101" s="90"/>
      <c r="AS101" s="7"/>
      <c r="AT101" s="7">
        <v>1</v>
      </c>
      <c r="AU101" s="7"/>
      <c r="AV101" s="7"/>
    </row>
    <row r="102" spans="1:48" s="9" customFormat="1" ht="61.5">
      <c r="A102" s="95">
        <v>2</v>
      </c>
      <c r="B102" s="96" t="s">
        <v>181</v>
      </c>
      <c r="C102" s="77" t="s">
        <v>38</v>
      </c>
      <c r="D102" s="77" t="s">
        <v>243</v>
      </c>
      <c r="E102" s="77">
        <v>2021</v>
      </c>
      <c r="F102" s="77">
        <v>2024</v>
      </c>
      <c r="G102" s="77" t="s">
        <v>276</v>
      </c>
      <c r="H102" s="91" t="s">
        <v>326</v>
      </c>
      <c r="I102" s="105">
        <v>260000</v>
      </c>
      <c r="J102" s="105">
        <v>260000</v>
      </c>
      <c r="K102" s="105"/>
      <c r="L102" s="105"/>
      <c r="M102" s="105">
        <v>260000</v>
      </c>
      <c r="N102" s="105"/>
      <c r="O102" s="105"/>
      <c r="P102" s="15">
        <v>15000</v>
      </c>
      <c r="Q102" s="15"/>
      <c r="R102" s="15">
        <f t="shared" si="43"/>
        <v>15000</v>
      </c>
      <c r="S102" s="15">
        <v>15000</v>
      </c>
      <c r="T102" s="15"/>
      <c r="U102" s="15">
        <v>120000</v>
      </c>
      <c r="V102" s="15"/>
      <c r="W102" s="15">
        <f t="shared" si="44"/>
        <v>120000</v>
      </c>
      <c r="X102" s="15">
        <v>120000</v>
      </c>
      <c r="Y102" s="15"/>
      <c r="Z102" s="15">
        <v>80000</v>
      </c>
      <c r="AA102" s="15"/>
      <c r="AB102" s="15">
        <f t="shared" si="53"/>
        <v>80000</v>
      </c>
      <c r="AC102" s="15">
        <v>80000</v>
      </c>
      <c r="AD102" s="15"/>
      <c r="AE102" s="15">
        <v>45000</v>
      </c>
      <c r="AF102" s="90"/>
      <c r="AG102" s="15">
        <v>45000</v>
      </c>
      <c r="AH102" s="15">
        <v>45000</v>
      </c>
      <c r="AI102" s="90"/>
      <c r="AJ102" s="90"/>
      <c r="AK102" s="90"/>
      <c r="AL102" s="90"/>
      <c r="AM102" s="90"/>
      <c r="AN102" s="90"/>
      <c r="AO102" s="139">
        <f t="shared" si="41"/>
        <v>260000</v>
      </c>
      <c r="AP102" s="141">
        <f t="shared" si="42"/>
        <v>0</v>
      </c>
      <c r="AQ102" s="90"/>
      <c r="AS102" s="7"/>
      <c r="AT102" s="7">
        <v>1</v>
      </c>
      <c r="AU102" s="7"/>
      <c r="AV102" s="7"/>
    </row>
    <row r="103" spans="1:48" s="9" customFormat="1" ht="46.15">
      <c r="A103" s="95">
        <v>3</v>
      </c>
      <c r="B103" s="96" t="s">
        <v>182</v>
      </c>
      <c r="C103" s="77" t="s">
        <v>38</v>
      </c>
      <c r="D103" s="77" t="s">
        <v>233</v>
      </c>
      <c r="E103" s="77">
        <v>2022</v>
      </c>
      <c r="F103" s="77">
        <v>2024</v>
      </c>
      <c r="G103" s="77" t="s">
        <v>277</v>
      </c>
      <c r="H103" s="91" t="s">
        <v>327</v>
      </c>
      <c r="I103" s="105">
        <v>103061</v>
      </c>
      <c r="J103" s="105">
        <v>103061</v>
      </c>
      <c r="K103" s="105"/>
      <c r="L103" s="105"/>
      <c r="M103" s="105">
        <v>103061</v>
      </c>
      <c r="N103" s="105"/>
      <c r="O103" s="105"/>
      <c r="P103" s="15">
        <v>3000</v>
      </c>
      <c r="Q103" s="15">
        <v>986.87699999999995</v>
      </c>
      <c r="R103" s="15">
        <f t="shared" si="43"/>
        <v>2999.7</v>
      </c>
      <c r="S103" s="15">
        <v>2013.123</v>
      </c>
      <c r="T103" s="15">
        <v>986.577</v>
      </c>
      <c r="U103" s="15">
        <v>65000</v>
      </c>
      <c r="V103" s="15"/>
      <c r="W103" s="15">
        <f t="shared" si="44"/>
        <v>65000</v>
      </c>
      <c r="X103" s="15">
        <v>65000</v>
      </c>
      <c r="Y103" s="15"/>
      <c r="Z103" s="15">
        <v>30000</v>
      </c>
      <c r="AA103" s="15"/>
      <c r="AB103" s="15">
        <f t="shared" si="53"/>
        <v>30000</v>
      </c>
      <c r="AC103" s="15">
        <v>30000</v>
      </c>
      <c r="AD103" s="15"/>
      <c r="AE103" s="15">
        <v>5061</v>
      </c>
      <c r="AF103" s="90"/>
      <c r="AG103" s="15">
        <v>5061</v>
      </c>
      <c r="AH103" s="15">
        <v>5061</v>
      </c>
      <c r="AI103" s="90"/>
      <c r="AJ103" s="90"/>
      <c r="AK103" s="90"/>
      <c r="AL103" s="90"/>
      <c r="AM103" s="90"/>
      <c r="AN103" s="90"/>
      <c r="AO103" s="139">
        <f t="shared" si="41"/>
        <v>103061</v>
      </c>
      <c r="AP103" s="141">
        <f t="shared" si="42"/>
        <v>0</v>
      </c>
      <c r="AQ103" s="90"/>
      <c r="AS103" s="7"/>
      <c r="AT103" s="7">
        <v>1</v>
      </c>
      <c r="AU103" s="7"/>
      <c r="AV103" s="7"/>
    </row>
    <row r="104" spans="1:48" s="9" customFormat="1" ht="46.15">
      <c r="A104" s="95">
        <v>4</v>
      </c>
      <c r="B104" s="96" t="s">
        <v>183</v>
      </c>
      <c r="C104" s="77" t="s">
        <v>38</v>
      </c>
      <c r="D104" s="77" t="s">
        <v>233</v>
      </c>
      <c r="E104" s="77">
        <v>2021</v>
      </c>
      <c r="F104" s="77">
        <v>2024</v>
      </c>
      <c r="G104" s="77" t="s">
        <v>278</v>
      </c>
      <c r="H104" s="91" t="s">
        <v>328</v>
      </c>
      <c r="I104" s="105">
        <v>150000</v>
      </c>
      <c r="J104" s="105">
        <v>150000</v>
      </c>
      <c r="K104" s="105"/>
      <c r="L104" s="105"/>
      <c r="M104" s="105">
        <v>150000</v>
      </c>
      <c r="N104" s="105"/>
      <c r="O104" s="105"/>
      <c r="P104" s="15">
        <v>10000</v>
      </c>
      <c r="Q104" s="15">
        <v>3515.3539460000002</v>
      </c>
      <c r="R104" s="15">
        <f t="shared" si="43"/>
        <v>10000</v>
      </c>
      <c r="S104" s="15">
        <v>6484.6460539999998</v>
      </c>
      <c r="T104" s="15">
        <v>3515.3539460000002</v>
      </c>
      <c r="U104" s="15">
        <v>70000</v>
      </c>
      <c r="V104" s="15"/>
      <c r="W104" s="15">
        <f t="shared" si="44"/>
        <v>70000</v>
      </c>
      <c r="X104" s="15">
        <v>70000</v>
      </c>
      <c r="Y104" s="15"/>
      <c r="Z104" s="15">
        <v>30000</v>
      </c>
      <c r="AA104" s="15"/>
      <c r="AB104" s="15">
        <f t="shared" si="53"/>
        <v>30000</v>
      </c>
      <c r="AC104" s="15">
        <v>30000</v>
      </c>
      <c r="AD104" s="15"/>
      <c r="AE104" s="15">
        <v>40000</v>
      </c>
      <c r="AF104" s="90"/>
      <c r="AG104" s="15">
        <v>40000</v>
      </c>
      <c r="AH104" s="15">
        <v>40000</v>
      </c>
      <c r="AI104" s="90"/>
      <c r="AJ104" s="90"/>
      <c r="AK104" s="90"/>
      <c r="AL104" s="90"/>
      <c r="AM104" s="90"/>
      <c r="AN104" s="90"/>
      <c r="AO104" s="139">
        <f t="shared" si="41"/>
        <v>150000</v>
      </c>
      <c r="AP104" s="141">
        <f t="shared" si="42"/>
        <v>0</v>
      </c>
      <c r="AQ104" s="90"/>
      <c r="AS104" s="7"/>
      <c r="AT104" s="7">
        <v>1</v>
      </c>
      <c r="AU104" s="7"/>
      <c r="AV104" s="7"/>
    </row>
    <row r="105" spans="1:48" s="9" customFormat="1" ht="30.75">
      <c r="A105" s="95">
        <v>5</v>
      </c>
      <c r="B105" s="96" t="s">
        <v>184</v>
      </c>
      <c r="C105" s="77" t="s">
        <v>38</v>
      </c>
      <c r="D105" s="77" t="s">
        <v>244</v>
      </c>
      <c r="E105" s="77">
        <v>2021</v>
      </c>
      <c r="F105" s="77">
        <v>2024</v>
      </c>
      <c r="G105" s="77" t="s">
        <v>279</v>
      </c>
      <c r="H105" s="91" t="s">
        <v>329</v>
      </c>
      <c r="I105" s="105">
        <v>182999.5</v>
      </c>
      <c r="J105" s="105">
        <v>182999.5</v>
      </c>
      <c r="K105" s="105"/>
      <c r="L105" s="105"/>
      <c r="M105" s="105">
        <v>182999.5</v>
      </c>
      <c r="N105" s="105"/>
      <c r="O105" s="105"/>
      <c r="P105" s="15">
        <v>5000</v>
      </c>
      <c r="Q105" s="15"/>
      <c r="R105" s="15">
        <f t="shared" si="43"/>
        <v>5000</v>
      </c>
      <c r="S105" s="15">
        <v>5000</v>
      </c>
      <c r="T105" s="15"/>
      <c r="U105" s="15">
        <v>60000</v>
      </c>
      <c r="V105" s="15"/>
      <c r="W105" s="15">
        <f t="shared" si="44"/>
        <v>60000</v>
      </c>
      <c r="X105" s="15">
        <v>60000</v>
      </c>
      <c r="Y105" s="15"/>
      <c r="Z105" s="15">
        <v>70000</v>
      </c>
      <c r="AA105" s="15"/>
      <c r="AB105" s="15">
        <f t="shared" si="53"/>
        <v>70000</v>
      </c>
      <c r="AC105" s="15">
        <v>70000</v>
      </c>
      <c r="AD105" s="15"/>
      <c r="AE105" s="15">
        <v>47999.5</v>
      </c>
      <c r="AF105" s="90"/>
      <c r="AG105" s="15">
        <v>47999.5</v>
      </c>
      <c r="AH105" s="15">
        <v>47999.5</v>
      </c>
      <c r="AI105" s="90"/>
      <c r="AJ105" s="90"/>
      <c r="AK105" s="90"/>
      <c r="AL105" s="90"/>
      <c r="AM105" s="90"/>
      <c r="AN105" s="90"/>
      <c r="AO105" s="139">
        <f t="shared" si="41"/>
        <v>182999.5</v>
      </c>
      <c r="AP105" s="141">
        <f t="shared" si="42"/>
        <v>0</v>
      </c>
      <c r="AQ105" s="90"/>
      <c r="AS105" s="7"/>
      <c r="AT105" s="7">
        <v>1</v>
      </c>
      <c r="AU105" s="7"/>
      <c r="AV105" s="7"/>
    </row>
    <row r="106" spans="1:48" s="9" customFormat="1" ht="46.15">
      <c r="A106" s="95">
        <v>6</v>
      </c>
      <c r="B106" s="96" t="s">
        <v>185</v>
      </c>
      <c r="C106" s="77" t="s">
        <v>38</v>
      </c>
      <c r="D106" s="77" t="s">
        <v>226</v>
      </c>
      <c r="E106" s="77">
        <v>2021</v>
      </c>
      <c r="F106" s="77">
        <v>2024</v>
      </c>
      <c r="G106" s="77" t="s">
        <v>280</v>
      </c>
      <c r="H106" s="91" t="s">
        <v>330</v>
      </c>
      <c r="I106" s="105">
        <v>120000</v>
      </c>
      <c r="J106" s="105">
        <v>120000</v>
      </c>
      <c r="K106" s="105"/>
      <c r="L106" s="105"/>
      <c r="M106" s="105">
        <v>120000</v>
      </c>
      <c r="N106" s="105"/>
      <c r="O106" s="105"/>
      <c r="P106" s="15">
        <v>2000</v>
      </c>
      <c r="Q106" s="15"/>
      <c r="R106" s="15">
        <f t="shared" si="43"/>
        <v>2000</v>
      </c>
      <c r="S106" s="15">
        <v>2000</v>
      </c>
      <c r="T106" s="15"/>
      <c r="U106" s="15">
        <v>25000</v>
      </c>
      <c r="V106" s="15"/>
      <c r="W106" s="15">
        <f t="shared" si="44"/>
        <v>25000</v>
      </c>
      <c r="X106" s="15">
        <v>25000</v>
      </c>
      <c r="Y106" s="15"/>
      <c r="Z106" s="15">
        <v>50000</v>
      </c>
      <c r="AA106" s="15"/>
      <c r="AB106" s="15">
        <f t="shared" si="53"/>
        <v>50000</v>
      </c>
      <c r="AC106" s="15">
        <v>50000</v>
      </c>
      <c r="AD106" s="15"/>
      <c r="AE106" s="15">
        <v>43000</v>
      </c>
      <c r="AF106" s="90"/>
      <c r="AG106" s="15">
        <v>43000</v>
      </c>
      <c r="AH106" s="15">
        <v>43000</v>
      </c>
      <c r="AI106" s="90"/>
      <c r="AJ106" s="90"/>
      <c r="AK106" s="90"/>
      <c r="AL106" s="90"/>
      <c r="AM106" s="90"/>
      <c r="AN106" s="90"/>
      <c r="AO106" s="139">
        <f t="shared" si="41"/>
        <v>120000</v>
      </c>
      <c r="AP106" s="141">
        <f t="shared" si="42"/>
        <v>0</v>
      </c>
      <c r="AQ106" s="90"/>
      <c r="AS106" s="7"/>
      <c r="AT106" s="7">
        <v>1</v>
      </c>
      <c r="AU106" s="7"/>
      <c r="AV106" s="7"/>
    </row>
    <row r="107" spans="1:48" s="9" customFormat="1" ht="46.15">
      <c r="A107" s="95">
        <v>7</v>
      </c>
      <c r="B107" s="96" t="s">
        <v>186</v>
      </c>
      <c r="C107" s="77" t="s">
        <v>38</v>
      </c>
      <c r="D107" s="77" t="s">
        <v>223</v>
      </c>
      <c r="E107" s="77">
        <v>2022</v>
      </c>
      <c r="F107" s="77">
        <v>2025</v>
      </c>
      <c r="G107" s="77" t="s">
        <v>281</v>
      </c>
      <c r="H107" s="91" t="s">
        <v>331</v>
      </c>
      <c r="I107" s="105">
        <v>85000</v>
      </c>
      <c r="J107" s="105">
        <v>85000</v>
      </c>
      <c r="K107" s="105"/>
      <c r="L107" s="105"/>
      <c r="M107" s="105">
        <v>85000</v>
      </c>
      <c r="N107" s="105"/>
      <c r="O107" s="106"/>
      <c r="P107" s="15"/>
      <c r="Q107" s="15"/>
      <c r="R107" s="15">
        <f t="shared" si="43"/>
        <v>0</v>
      </c>
      <c r="S107" s="15"/>
      <c r="T107" s="15"/>
      <c r="U107" s="15">
        <v>1000</v>
      </c>
      <c r="V107" s="15"/>
      <c r="W107" s="15">
        <f t="shared" si="44"/>
        <v>1000</v>
      </c>
      <c r="X107" s="15">
        <v>1000</v>
      </c>
      <c r="Y107" s="15"/>
      <c r="Z107" s="15">
        <v>20000</v>
      </c>
      <c r="AA107" s="15"/>
      <c r="AB107" s="15">
        <f t="shared" si="53"/>
        <v>20000</v>
      </c>
      <c r="AC107" s="15">
        <v>20000</v>
      </c>
      <c r="AD107" s="15"/>
      <c r="AE107" s="143">
        <v>16000</v>
      </c>
      <c r="AF107" s="90"/>
      <c r="AG107" s="15">
        <v>16000</v>
      </c>
      <c r="AH107" s="15">
        <v>16000</v>
      </c>
      <c r="AI107" s="90"/>
      <c r="AJ107" s="15">
        <v>48000</v>
      </c>
      <c r="AK107" s="15"/>
      <c r="AL107" s="15"/>
      <c r="AM107" s="15"/>
      <c r="AN107" s="15"/>
      <c r="AO107" s="139">
        <f t="shared" si="41"/>
        <v>37000</v>
      </c>
      <c r="AP107" s="141">
        <f t="shared" si="42"/>
        <v>48000</v>
      </c>
      <c r="AQ107" s="90"/>
      <c r="AS107" s="7"/>
      <c r="AT107" s="7">
        <v>1</v>
      </c>
      <c r="AU107" s="7"/>
      <c r="AV107" s="7"/>
    </row>
    <row r="108" spans="1:48" s="9" customFormat="1" ht="61.5">
      <c r="A108" s="95">
        <v>8</v>
      </c>
      <c r="B108" s="96" t="s">
        <v>187</v>
      </c>
      <c r="C108" s="77" t="s">
        <v>38</v>
      </c>
      <c r="D108" s="77" t="s">
        <v>223</v>
      </c>
      <c r="E108" s="77">
        <v>2021</v>
      </c>
      <c r="F108" s="77">
        <v>2024</v>
      </c>
      <c r="G108" s="77" t="s">
        <v>282</v>
      </c>
      <c r="H108" s="91" t="s">
        <v>332</v>
      </c>
      <c r="I108" s="105">
        <v>80000</v>
      </c>
      <c r="J108" s="105">
        <v>80000</v>
      </c>
      <c r="K108" s="105"/>
      <c r="L108" s="105"/>
      <c r="M108" s="105">
        <v>80000</v>
      </c>
      <c r="N108" s="105"/>
      <c r="O108" s="105"/>
      <c r="P108" s="15">
        <v>1000</v>
      </c>
      <c r="Q108" s="15"/>
      <c r="R108" s="15">
        <f t="shared" si="43"/>
        <v>1000</v>
      </c>
      <c r="S108" s="15">
        <v>1000</v>
      </c>
      <c r="T108" s="15"/>
      <c r="U108" s="15">
        <v>20000</v>
      </c>
      <c r="V108" s="15"/>
      <c r="W108" s="15">
        <f t="shared" si="44"/>
        <v>20000</v>
      </c>
      <c r="X108" s="15">
        <v>20000</v>
      </c>
      <c r="Y108" s="15"/>
      <c r="Z108" s="15">
        <v>23000</v>
      </c>
      <c r="AA108" s="15"/>
      <c r="AB108" s="15">
        <f t="shared" si="53"/>
        <v>19894.213</v>
      </c>
      <c r="AC108" s="15">
        <v>19894.213</v>
      </c>
      <c r="AD108" s="15"/>
      <c r="AE108" s="15">
        <v>36000</v>
      </c>
      <c r="AF108" s="90"/>
      <c r="AG108" s="15">
        <v>36000</v>
      </c>
      <c r="AH108" s="15">
        <v>36000</v>
      </c>
      <c r="AI108" s="90"/>
      <c r="AJ108" s="90"/>
      <c r="AK108" s="90"/>
      <c r="AL108" s="90"/>
      <c r="AM108" s="90"/>
      <c r="AN108" s="90"/>
      <c r="AO108" s="139">
        <f t="shared" si="41"/>
        <v>80000</v>
      </c>
      <c r="AP108" s="141">
        <f t="shared" si="42"/>
        <v>0</v>
      </c>
      <c r="AQ108" s="90"/>
      <c r="AS108" s="7"/>
      <c r="AT108" s="7">
        <v>1</v>
      </c>
      <c r="AU108" s="7"/>
      <c r="AV108" s="7"/>
    </row>
    <row r="109" spans="1:48" s="9" customFormat="1" ht="46.15">
      <c r="A109" s="95">
        <v>9</v>
      </c>
      <c r="B109" s="96" t="s">
        <v>188</v>
      </c>
      <c r="C109" s="77" t="s">
        <v>38</v>
      </c>
      <c r="D109" s="77" t="s">
        <v>238</v>
      </c>
      <c r="E109" s="77">
        <v>2021</v>
      </c>
      <c r="F109" s="77">
        <v>2024</v>
      </c>
      <c r="G109" s="77" t="s">
        <v>283</v>
      </c>
      <c r="H109" s="91" t="s">
        <v>333</v>
      </c>
      <c r="I109" s="105">
        <v>80000</v>
      </c>
      <c r="J109" s="105">
        <v>80000</v>
      </c>
      <c r="K109" s="105"/>
      <c r="L109" s="105"/>
      <c r="M109" s="105">
        <v>80000</v>
      </c>
      <c r="N109" s="105"/>
      <c r="O109" s="105"/>
      <c r="P109" s="15">
        <v>1000</v>
      </c>
      <c r="Q109" s="15"/>
      <c r="R109" s="15">
        <f t="shared" si="43"/>
        <v>1000</v>
      </c>
      <c r="S109" s="15">
        <v>1000</v>
      </c>
      <c r="T109" s="15"/>
      <c r="U109" s="15">
        <v>33379</v>
      </c>
      <c r="V109" s="15"/>
      <c r="W109" s="15">
        <f t="shared" si="44"/>
        <v>33379</v>
      </c>
      <c r="X109" s="15">
        <v>33379</v>
      </c>
      <c r="Y109" s="15"/>
      <c r="Z109" s="15">
        <v>35621</v>
      </c>
      <c r="AA109" s="15"/>
      <c r="AB109" s="15">
        <f t="shared" si="53"/>
        <v>35621</v>
      </c>
      <c r="AC109" s="15">
        <v>35621</v>
      </c>
      <c r="AD109" s="15"/>
      <c r="AE109" s="15">
        <v>10000</v>
      </c>
      <c r="AF109" s="90"/>
      <c r="AG109" s="15">
        <v>10000</v>
      </c>
      <c r="AH109" s="15">
        <v>10000</v>
      </c>
      <c r="AI109" s="90"/>
      <c r="AJ109" s="90"/>
      <c r="AK109" s="90"/>
      <c r="AL109" s="90"/>
      <c r="AM109" s="90"/>
      <c r="AN109" s="90"/>
      <c r="AO109" s="139">
        <f t="shared" si="41"/>
        <v>80000</v>
      </c>
      <c r="AP109" s="141">
        <f t="shared" si="42"/>
        <v>0</v>
      </c>
      <c r="AQ109" s="90"/>
      <c r="AS109" s="7"/>
      <c r="AT109" s="7">
        <v>1</v>
      </c>
      <c r="AU109" s="7"/>
      <c r="AV109" s="7"/>
    </row>
    <row r="110" spans="1:48" s="9" customFormat="1" ht="30">
      <c r="A110" s="85" t="s">
        <v>97</v>
      </c>
      <c r="B110" s="86" t="s">
        <v>98</v>
      </c>
      <c r="C110" s="77"/>
      <c r="D110" s="77"/>
      <c r="E110" s="77"/>
      <c r="F110" s="77"/>
      <c r="G110" s="77"/>
      <c r="H110" s="107"/>
      <c r="I110" s="108">
        <f>SUM(I111:I113)</f>
        <v>255000</v>
      </c>
      <c r="J110" s="108">
        <f t="shared" ref="J110:AN110" si="54">SUM(J111:J113)</f>
        <v>255000</v>
      </c>
      <c r="K110" s="108">
        <f t="shared" si="54"/>
        <v>0</v>
      </c>
      <c r="L110" s="108">
        <f t="shared" si="54"/>
        <v>0</v>
      </c>
      <c r="M110" s="108">
        <f t="shared" si="54"/>
        <v>154770</v>
      </c>
      <c r="N110" s="108">
        <f t="shared" si="54"/>
        <v>0</v>
      </c>
      <c r="O110" s="108">
        <f t="shared" si="54"/>
        <v>0</v>
      </c>
      <c r="P110" s="108">
        <f t="shared" si="54"/>
        <v>0</v>
      </c>
      <c r="Q110" s="108">
        <f t="shared" si="54"/>
        <v>0</v>
      </c>
      <c r="R110" s="108">
        <f t="shared" si="54"/>
        <v>0</v>
      </c>
      <c r="S110" s="108">
        <f t="shared" si="54"/>
        <v>0</v>
      </c>
      <c r="T110" s="108">
        <f t="shared" si="54"/>
        <v>0</v>
      </c>
      <c r="U110" s="108">
        <f t="shared" si="54"/>
        <v>1000</v>
      </c>
      <c r="V110" s="108">
        <f t="shared" si="54"/>
        <v>0</v>
      </c>
      <c r="W110" s="108">
        <f t="shared" si="54"/>
        <v>1000</v>
      </c>
      <c r="X110" s="108">
        <f t="shared" si="54"/>
        <v>1000</v>
      </c>
      <c r="Y110" s="108">
        <f t="shared" si="54"/>
        <v>0</v>
      </c>
      <c r="Z110" s="108">
        <f t="shared" si="54"/>
        <v>48000</v>
      </c>
      <c r="AA110" s="108">
        <f t="shared" si="54"/>
        <v>0</v>
      </c>
      <c r="AB110" s="108">
        <f t="shared" si="54"/>
        <v>48000</v>
      </c>
      <c r="AC110" s="108">
        <f t="shared" si="54"/>
        <v>48000</v>
      </c>
      <c r="AD110" s="108">
        <f t="shared" si="54"/>
        <v>0</v>
      </c>
      <c r="AE110" s="108">
        <f t="shared" si="54"/>
        <v>32911</v>
      </c>
      <c r="AF110" s="108">
        <f t="shared" si="54"/>
        <v>0</v>
      </c>
      <c r="AG110" s="108">
        <f t="shared" si="54"/>
        <v>32911</v>
      </c>
      <c r="AH110" s="108">
        <f t="shared" si="54"/>
        <v>32911</v>
      </c>
      <c r="AI110" s="108">
        <f t="shared" si="54"/>
        <v>0</v>
      </c>
      <c r="AJ110" s="108">
        <f t="shared" si="54"/>
        <v>72859</v>
      </c>
      <c r="AK110" s="108">
        <f t="shared" si="54"/>
        <v>0</v>
      </c>
      <c r="AL110" s="108">
        <f t="shared" si="54"/>
        <v>0</v>
      </c>
      <c r="AM110" s="108">
        <f t="shared" si="54"/>
        <v>0</v>
      </c>
      <c r="AN110" s="108">
        <f t="shared" si="54"/>
        <v>0</v>
      </c>
      <c r="AO110" s="139">
        <f t="shared" si="41"/>
        <v>81911</v>
      </c>
      <c r="AP110" s="141">
        <f t="shared" si="42"/>
        <v>72859</v>
      </c>
      <c r="AQ110" s="90"/>
      <c r="AS110" s="7"/>
      <c r="AT110" s="7"/>
      <c r="AU110" s="7"/>
      <c r="AV110" s="7"/>
    </row>
    <row r="111" spans="1:48" s="9" customFormat="1" ht="46.15">
      <c r="A111" s="95">
        <v>1</v>
      </c>
      <c r="B111" s="96" t="s">
        <v>189</v>
      </c>
      <c r="C111" s="77" t="s">
        <v>38</v>
      </c>
      <c r="D111" s="77" t="s">
        <v>238</v>
      </c>
      <c r="E111" s="77">
        <v>2024</v>
      </c>
      <c r="F111" s="77">
        <v>2026</v>
      </c>
      <c r="G111" s="77" t="s">
        <v>284</v>
      </c>
      <c r="H111" s="91" t="s">
        <v>876</v>
      </c>
      <c r="I111" s="105">
        <v>90000</v>
      </c>
      <c r="J111" s="105">
        <v>90000</v>
      </c>
      <c r="K111" s="105"/>
      <c r="L111" s="105"/>
      <c r="M111" s="105">
        <v>50240</v>
      </c>
      <c r="N111" s="105"/>
      <c r="O111" s="105"/>
      <c r="P111" s="15"/>
      <c r="Q111" s="15"/>
      <c r="R111" s="15">
        <f t="shared" si="43"/>
        <v>0</v>
      </c>
      <c r="S111" s="15"/>
      <c r="T111" s="15"/>
      <c r="U111" s="15"/>
      <c r="V111" s="15"/>
      <c r="W111" s="15">
        <f t="shared" si="44"/>
        <v>0</v>
      </c>
      <c r="X111" s="15"/>
      <c r="Y111" s="15"/>
      <c r="Z111" s="15">
        <v>3000</v>
      </c>
      <c r="AA111" s="15"/>
      <c r="AB111" s="15">
        <f t="shared" si="53"/>
        <v>3000</v>
      </c>
      <c r="AC111" s="15">
        <v>3000</v>
      </c>
      <c r="AD111" s="15"/>
      <c r="AE111" s="143">
        <v>21000</v>
      </c>
      <c r="AF111" s="90"/>
      <c r="AG111" s="15">
        <v>21000</v>
      </c>
      <c r="AH111" s="15">
        <v>21000</v>
      </c>
      <c r="AI111" s="90"/>
      <c r="AJ111" s="15">
        <v>26240</v>
      </c>
      <c r="AK111" s="15"/>
      <c r="AL111" s="15"/>
      <c r="AM111" s="15"/>
      <c r="AN111" s="15"/>
      <c r="AO111" s="139">
        <f t="shared" si="41"/>
        <v>24000</v>
      </c>
      <c r="AP111" s="141">
        <f t="shared" si="42"/>
        <v>26240</v>
      </c>
      <c r="AQ111" s="90"/>
      <c r="AS111" s="7"/>
      <c r="AT111" s="7"/>
      <c r="AU111" s="7">
        <v>1</v>
      </c>
      <c r="AV111" s="7"/>
    </row>
    <row r="112" spans="1:48" s="9" customFormat="1" ht="46.15">
      <c r="A112" s="95">
        <v>2</v>
      </c>
      <c r="B112" s="88" t="s">
        <v>190</v>
      </c>
      <c r="C112" s="77" t="s">
        <v>38</v>
      </c>
      <c r="D112" s="77" t="s">
        <v>245</v>
      </c>
      <c r="E112" s="77">
        <v>2023</v>
      </c>
      <c r="F112" s="77">
        <v>2026</v>
      </c>
      <c r="G112" s="77" t="s">
        <v>285</v>
      </c>
      <c r="H112" s="91" t="s">
        <v>334</v>
      </c>
      <c r="I112" s="105">
        <v>80000</v>
      </c>
      <c r="J112" s="105">
        <v>80000</v>
      </c>
      <c r="K112" s="105"/>
      <c r="L112" s="105"/>
      <c r="M112" s="105">
        <v>42530</v>
      </c>
      <c r="N112" s="105"/>
      <c r="O112" s="105"/>
      <c r="P112" s="15"/>
      <c r="Q112" s="15"/>
      <c r="R112" s="15">
        <f t="shared" si="43"/>
        <v>0</v>
      </c>
      <c r="S112" s="15"/>
      <c r="T112" s="15"/>
      <c r="U112" s="15">
        <v>500</v>
      </c>
      <c r="V112" s="15"/>
      <c r="W112" s="15">
        <f t="shared" si="44"/>
        <v>500</v>
      </c>
      <c r="X112" s="15">
        <v>500</v>
      </c>
      <c r="Y112" s="15"/>
      <c r="Z112" s="15">
        <v>20000</v>
      </c>
      <c r="AA112" s="15"/>
      <c r="AB112" s="15">
        <f t="shared" si="53"/>
        <v>20000</v>
      </c>
      <c r="AC112" s="15">
        <v>20000</v>
      </c>
      <c r="AD112" s="15"/>
      <c r="AE112" s="143">
        <v>10000</v>
      </c>
      <c r="AF112" s="90"/>
      <c r="AG112" s="15">
        <v>10000</v>
      </c>
      <c r="AH112" s="15">
        <v>10000</v>
      </c>
      <c r="AI112" s="90"/>
      <c r="AJ112" s="15">
        <v>12030</v>
      </c>
      <c r="AK112" s="15"/>
      <c r="AL112" s="15"/>
      <c r="AM112" s="15"/>
      <c r="AN112" s="15"/>
      <c r="AO112" s="139">
        <f t="shared" si="41"/>
        <v>30500</v>
      </c>
      <c r="AP112" s="141">
        <f t="shared" si="42"/>
        <v>12030</v>
      </c>
      <c r="AQ112" s="90"/>
      <c r="AS112" s="7"/>
      <c r="AT112" s="7"/>
      <c r="AU112" s="7">
        <v>1</v>
      </c>
      <c r="AV112" s="7"/>
    </row>
    <row r="113" spans="1:48" s="9" customFormat="1" ht="46.15">
      <c r="A113" s="95">
        <v>3</v>
      </c>
      <c r="B113" s="96" t="s">
        <v>191</v>
      </c>
      <c r="C113" s="77" t="s">
        <v>38</v>
      </c>
      <c r="D113" s="77" t="s">
        <v>223</v>
      </c>
      <c r="E113" s="77">
        <v>2023</v>
      </c>
      <c r="F113" s="77">
        <v>2026</v>
      </c>
      <c r="G113" s="77" t="s">
        <v>286</v>
      </c>
      <c r="H113" s="91" t="s">
        <v>335</v>
      </c>
      <c r="I113" s="105">
        <v>85000</v>
      </c>
      <c r="J113" s="105">
        <v>85000</v>
      </c>
      <c r="K113" s="105"/>
      <c r="L113" s="105"/>
      <c r="M113" s="105">
        <v>62000</v>
      </c>
      <c r="N113" s="105"/>
      <c r="O113" s="105"/>
      <c r="P113" s="15"/>
      <c r="Q113" s="15"/>
      <c r="R113" s="15">
        <f t="shared" si="43"/>
        <v>0</v>
      </c>
      <c r="S113" s="15"/>
      <c r="T113" s="15"/>
      <c r="U113" s="15">
        <v>500</v>
      </c>
      <c r="V113" s="15"/>
      <c r="W113" s="15">
        <f t="shared" si="44"/>
        <v>500</v>
      </c>
      <c r="X113" s="15">
        <v>500</v>
      </c>
      <c r="Y113" s="15"/>
      <c r="Z113" s="15">
        <v>25000</v>
      </c>
      <c r="AA113" s="15"/>
      <c r="AB113" s="15">
        <f t="shared" si="53"/>
        <v>25000</v>
      </c>
      <c r="AC113" s="15">
        <v>25000</v>
      </c>
      <c r="AD113" s="15"/>
      <c r="AE113" s="15">
        <v>1911</v>
      </c>
      <c r="AF113" s="90"/>
      <c r="AG113" s="15">
        <v>1911</v>
      </c>
      <c r="AH113" s="15">
        <v>1911</v>
      </c>
      <c r="AI113" s="90"/>
      <c r="AJ113" s="15">
        <v>34589</v>
      </c>
      <c r="AK113" s="15"/>
      <c r="AL113" s="15"/>
      <c r="AM113" s="15"/>
      <c r="AN113" s="15"/>
      <c r="AO113" s="139">
        <f t="shared" si="41"/>
        <v>27411</v>
      </c>
      <c r="AP113" s="141">
        <f t="shared" si="42"/>
        <v>34589</v>
      </c>
      <c r="AQ113" s="90"/>
      <c r="AS113" s="7"/>
      <c r="AT113" s="7"/>
      <c r="AU113" s="7">
        <v>1</v>
      </c>
      <c r="AV113" s="7"/>
    </row>
    <row r="114" spans="1:48" s="6" customFormat="1" ht="30">
      <c r="A114" s="81" t="s">
        <v>350</v>
      </c>
      <c r="B114" s="82" t="s">
        <v>99</v>
      </c>
      <c r="C114" s="84"/>
      <c r="D114" s="84"/>
      <c r="E114" s="84"/>
      <c r="F114" s="84"/>
      <c r="G114" s="84"/>
      <c r="H114" s="102"/>
      <c r="I114" s="104">
        <f t="shared" ref="I114:AN114" si="55">SUM(I115:I115)</f>
        <v>0</v>
      </c>
      <c r="J114" s="104">
        <f t="shared" si="55"/>
        <v>0</v>
      </c>
      <c r="K114" s="104">
        <f t="shared" si="55"/>
        <v>0</v>
      </c>
      <c r="L114" s="104">
        <f t="shared" si="55"/>
        <v>0</v>
      </c>
      <c r="M114" s="104">
        <f t="shared" si="55"/>
        <v>0</v>
      </c>
      <c r="N114" s="104">
        <f t="shared" si="55"/>
        <v>0</v>
      </c>
      <c r="O114" s="104">
        <f t="shared" si="55"/>
        <v>0</v>
      </c>
      <c r="P114" s="104">
        <f t="shared" si="55"/>
        <v>0</v>
      </c>
      <c r="Q114" s="104">
        <f t="shared" si="55"/>
        <v>0</v>
      </c>
      <c r="R114" s="104">
        <f t="shared" si="55"/>
        <v>0</v>
      </c>
      <c r="S114" s="104">
        <f t="shared" si="55"/>
        <v>0</v>
      </c>
      <c r="T114" s="104">
        <f t="shared" si="55"/>
        <v>0</v>
      </c>
      <c r="U114" s="104">
        <f t="shared" si="55"/>
        <v>0</v>
      </c>
      <c r="V114" s="104">
        <f t="shared" si="55"/>
        <v>0</v>
      </c>
      <c r="W114" s="104">
        <f t="shared" si="55"/>
        <v>0</v>
      </c>
      <c r="X114" s="104">
        <f t="shared" si="55"/>
        <v>0</v>
      </c>
      <c r="Y114" s="104">
        <f t="shared" si="55"/>
        <v>0</v>
      </c>
      <c r="Z114" s="104">
        <f t="shared" si="55"/>
        <v>0</v>
      </c>
      <c r="AA114" s="104">
        <f t="shared" si="55"/>
        <v>0</v>
      </c>
      <c r="AB114" s="104">
        <f t="shared" si="55"/>
        <v>0</v>
      </c>
      <c r="AC114" s="104">
        <f t="shared" si="55"/>
        <v>0</v>
      </c>
      <c r="AD114" s="104">
        <f t="shared" si="55"/>
        <v>0</v>
      </c>
      <c r="AE114" s="104">
        <f t="shared" si="55"/>
        <v>0</v>
      </c>
      <c r="AF114" s="104">
        <f t="shared" si="55"/>
        <v>0</v>
      </c>
      <c r="AG114" s="104">
        <f t="shared" si="55"/>
        <v>0</v>
      </c>
      <c r="AH114" s="104">
        <f t="shared" si="55"/>
        <v>0</v>
      </c>
      <c r="AI114" s="104">
        <f t="shared" si="55"/>
        <v>0</v>
      </c>
      <c r="AJ114" s="104">
        <f t="shared" si="55"/>
        <v>0</v>
      </c>
      <c r="AK114" s="104">
        <f t="shared" si="55"/>
        <v>0</v>
      </c>
      <c r="AL114" s="104">
        <f t="shared" si="55"/>
        <v>0</v>
      </c>
      <c r="AM114" s="104">
        <f t="shared" si="55"/>
        <v>0</v>
      </c>
      <c r="AN114" s="104">
        <f t="shared" si="55"/>
        <v>0</v>
      </c>
      <c r="AO114" s="139">
        <f t="shared" si="41"/>
        <v>0</v>
      </c>
      <c r="AP114" s="141">
        <f t="shared" si="42"/>
        <v>0</v>
      </c>
      <c r="AQ114" s="78"/>
      <c r="AS114" s="5"/>
      <c r="AT114" s="5"/>
      <c r="AU114" s="5"/>
      <c r="AV114" s="5"/>
    </row>
    <row r="115" spans="1:48" s="93" customFormat="1" ht="17.649999999999999">
      <c r="A115" s="110"/>
      <c r="B115" s="111"/>
      <c r="C115" s="21"/>
      <c r="D115" s="21"/>
      <c r="E115" s="21"/>
      <c r="F115" s="21"/>
      <c r="G115" s="21"/>
      <c r="H115" s="112"/>
      <c r="I115" s="113"/>
      <c r="J115" s="113"/>
      <c r="K115" s="113"/>
      <c r="L115" s="113"/>
      <c r="M115" s="113"/>
      <c r="N115" s="113"/>
      <c r="O115" s="113"/>
      <c r="P115" s="22"/>
      <c r="Q115" s="22"/>
      <c r="R115" s="22"/>
      <c r="S115" s="22"/>
      <c r="T115" s="22"/>
      <c r="U115" s="22"/>
      <c r="V115" s="22"/>
      <c r="W115" s="22"/>
      <c r="X115" s="22"/>
      <c r="Y115" s="22"/>
      <c r="Z115" s="22"/>
      <c r="AA115" s="22"/>
      <c r="AB115" s="22"/>
      <c r="AC115" s="22"/>
      <c r="AD115" s="22"/>
      <c r="AE115" s="22"/>
      <c r="AF115" s="92"/>
      <c r="AG115" s="22"/>
      <c r="AH115" s="22"/>
      <c r="AI115" s="92"/>
      <c r="AJ115" s="22"/>
      <c r="AK115" s="22"/>
      <c r="AL115" s="22"/>
      <c r="AM115" s="22"/>
      <c r="AN115" s="22"/>
      <c r="AO115" s="139">
        <f t="shared" si="41"/>
        <v>0</v>
      </c>
      <c r="AP115" s="141">
        <f t="shared" si="42"/>
        <v>0</v>
      </c>
      <c r="AQ115" s="23"/>
      <c r="AS115" s="24"/>
      <c r="AT115" s="24"/>
      <c r="AU115" s="24"/>
      <c r="AV115" s="24"/>
    </row>
    <row r="116" spans="1:48" s="9" customFormat="1" ht="17.25">
      <c r="A116" s="81" t="s">
        <v>358</v>
      </c>
      <c r="B116" s="82" t="s">
        <v>192</v>
      </c>
      <c r="C116" s="77"/>
      <c r="D116" s="77"/>
      <c r="E116" s="77"/>
      <c r="F116" s="77"/>
      <c r="G116" s="77"/>
      <c r="H116" s="102"/>
      <c r="I116" s="104">
        <f>I117</f>
        <v>90000</v>
      </c>
      <c r="J116" s="104">
        <f t="shared" ref="J116:AN117" si="56">J117</f>
        <v>90000</v>
      </c>
      <c r="K116" s="104">
        <f t="shared" si="56"/>
        <v>40000</v>
      </c>
      <c r="L116" s="104">
        <f t="shared" si="56"/>
        <v>40000</v>
      </c>
      <c r="M116" s="104">
        <f t="shared" si="56"/>
        <v>39911</v>
      </c>
      <c r="N116" s="104">
        <f t="shared" si="56"/>
        <v>0</v>
      </c>
      <c r="O116" s="104">
        <f t="shared" si="56"/>
        <v>0</v>
      </c>
      <c r="P116" s="104">
        <f t="shared" si="56"/>
        <v>20000</v>
      </c>
      <c r="Q116" s="104">
        <f t="shared" si="56"/>
        <v>0</v>
      </c>
      <c r="R116" s="104">
        <f t="shared" si="56"/>
        <v>20000</v>
      </c>
      <c r="S116" s="104">
        <f t="shared" si="56"/>
        <v>20000</v>
      </c>
      <c r="T116" s="104">
        <f t="shared" si="56"/>
        <v>0</v>
      </c>
      <c r="U116" s="104">
        <f t="shared" si="56"/>
        <v>19911</v>
      </c>
      <c r="V116" s="104">
        <f t="shared" si="56"/>
        <v>377</v>
      </c>
      <c r="W116" s="104">
        <f t="shared" si="56"/>
        <v>18580.90324</v>
      </c>
      <c r="X116" s="104">
        <f t="shared" si="56"/>
        <v>18440.97424</v>
      </c>
      <c r="Y116" s="104">
        <f t="shared" si="56"/>
        <v>139.929</v>
      </c>
      <c r="Z116" s="104">
        <f t="shared" si="56"/>
        <v>0</v>
      </c>
      <c r="AA116" s="104">
        <f t="shared" si="56"/>
        <v>0</v>
      </c>
      <c r="AB116" s="104">
        <f t="shared" si="56"/>
        <v>0</v>
      </c>
      <c r="AC116" s="104">
        <f t="shared" si="56"/>
        <v>0</v>
      </c>
      <c r="AD116" s="104">
        <f t="shared" si="56"/>
        <v>0</v>
      </c>
      <c r="AE116" s="104">
        <f t="shared" si="56"/>
        <v>0</v>
      </c>
      <c r="AF116" s="104">
        <f t="shared" si="56"/>
        <v>0</v>
      </c>
      <c r="AG116" s="104">
        <f t="shared" si="56"/>
        <v>0</v>
      </c>
      <c r="AH116" s="104">
        <f t="shared" si="56"/>
        <v>0</v>
      </c>
      <c r="AI116" s="104">
        <f t="shared" si="56"/>
        <v>0</v>
      </c>
      <c r="AJ116" s="104">
        <f t="shared" si="56"/>
        <v>0</v>
      </c>
      <c r="AK116" s="104">
        <f t="shared" si="56"/>
        <v>0</v>
      </c>
      <c r="AL116" s="104">
        <f t="shared" si="56"/>
        <v>0</v>
      </c>
      <c r="AM116" s="104">
        <f t="shared" si="56"/>
        <v>0</v>
      </c>
      <c r="AN116" s="104">
        <f t="shared" si="56"/>
        <v>0</v>
      </c>
      <c r="AO116" s="139">
        <f t="shared" si="41"/>
        <v>39911</v>
      </c>
      <c r="AP116" s="141">
        <f t="shared" si="42"/>
        <v>0</v>
      </c>
      <c r="AQ116" s="90"/>
      <c r="AS116" s="7"/>
      <c r="AT116" s="7"/>
      <c r="AU116" s="7"/>
      <c r="AV116" s="7"/>
    </row>
    <row r="117" spans="1:48" s="9" customFormat="1" ht="30">
      <c r="A117" s="81" t="s">
        <v>120</v>
      </c>
      <c r="B117" s="82" t="s">
        <v>35</v>
      </c>
      <c r="C117" s="77"/>
      <c r="D117" s="77"/>
      <c r="E117" s="77"/>
      <c r="F117" s="77"/>
      <c r="G117" s="77"/>
      <c r="H117" s="102"/>
      <c r="I117" s="104">
        <f>I118</f>
        <v>90000</v>
      </c>
      <c r="J117" s="104">
        <f t="shared" si="56"/>
        <v>90000</v>
      </c>
      <c r="K117" s="104">
        <f t="shared" si="56"/>
        <v>40000</v>
      </c>
      <c r="L117" s="104">
        <f t="shared" si="56"/>
        <v>40000</v>
      </c>
      <c r="M117" s="104">
        <f t="shared" si="56"/>
        <v>39911</v>
      </c>
      <c r="N117" s="104">
        <f t="shared" si="56"/>
        <v>0</v>
      </c>
      <c r="O117" s="104">
        <f t="shared" si="56"/>
        <v>0</v>
      </c>
      <c r="P117" s="104">
        <f t="shared" si="56"/>
        <v>20000</v>
      </c>
      <c r="Q117" s="104">
        <f t="shared" si="56"/>
        <v>0</v>
      </c>
      <c r="R117" s="104">
        <f t="shared" si="56"/>
        <v>20000</v>
      </c>
      <c r="S117" s="104">
        <f t="shared" si="56"/>
        <v>20000</v>
      </c>
      <c r="T117" s="104">
        <f t="shared" si="56"/>
        <v>0</v>
      </c>
      <c r="U117" s="104">
        <f t="shared" si="56"/>
        <v>19911</v>
      </c>
      <c r="V117" s="104">
        <f t="shared" si="56"/>
        <v>377</v>
      </c>
      <c r="W117" s="104">
        <f t="shared" si="56"/>
        <v>18580.90324</v>
      </c>
      <c r="X117" s="104">
        <f t="shared" si="56"/>
        <v>18440.97424</v>
      </c>
      <c r="Y117" s="104">
        <f t="shared" si="56"/>
        <v>139.929</v>
      </c>
      <c r="Z117" s="104">
        <f t="shared" si="56"/>
        <v>0</v>
      </c>
      <c r="AA117" s="104">
        <f t="shared" si="56"/>
        <v>0</v>
      </c>
      <c r="AB117" s="104">
        <f t="shared" si="56"/>
        <v>0</v>
      </c>
      <c r="AC117" s="104">
        <f t="shared" si="56"/>
        <v>0</v>
      </c>
      <c r="AD117" s="104">
        <f t="shared" si="56"/>
        <v>0</v>
      </c>
      <c r="AE117" s="104">
        <f t="shared" si="56"/>
        <v>0</v>
      </c>
      <c r="AF117" s="104">
        <f t="shared" si="56"/>
        <v>0</v>
      </c>
      <c r="AG117" s="104">
        <f t="shared" si="56"/>
        <v>0</v>
      </c>
      <c r="AH117" s="104">
        <f t="shared" si="56"/>
        <v>0</v>
      </c>
      <c r="AI117" s="104">
        <f t="shared" si="56"/>
        <v>0</v>
      </c>
      <c r="AJ117" s="104">
        <f t="shared" si="56"/>
        <v>0</v>
      </c>
      <c r="AK117" s="104">
        <f t="shared" si="56"/>
        <v>0</v>
      </c>
      <c r="AL117" s="104">
        <f t="shared" si="56"/>
        <v>0</v>
      </c>
      <c r="AM117" s="104">
        <f t="shared" si="56"/>
        <v>0</v>
      </c>
      <c r="AN117" s="104">
        <f t="shared" si="56"/>
        <v>0</v>
      </c>
      <c r="AO117" s="139">
        <f t="shared" si="41"/>
        <v>39911</v>
      </c>
      <c r="AP117" s="141">
        <f t="shared" si="42"/>
        <v>0</v>
      </c>
      <c r="AQ117" s="90"/>
      <c r="AS117" s="7"/>
      <c r="AT117" s="7"/>
      <c r="AU117" s="7"/>
      <c r="AV117" s="7"/>
    </row>
    <row r="118" spans="1:48" s="9" customFormat="1" ht="78.75">
      <c r="A118" s="95">
        <v>1</v>
      </c>
      <c r="B118" s="96" t="s">
        <v>193</v>
      </c>
      <c r="C118" s="77" t="s">
        <v>38</v>
      </c>
      <c r="D118" s="77" t="s">
        <v>246</v>
      </c>
      <c r="E118" s="77">
        <v>2018</v>
      </c>
      <c r="F118" s="77">
        <v>2022</v>
      </c>
      <c r="G118" s="124" t="s">
        <v>287</v>
      </c>
      <c r="H118" s="91" t="s">
        <v>336</v>
      </c>
      <c r="I118" s="105">
        <v>90000</v>
      </c>
      <c r="J118" s="105">
        <v>90000</v>
      </c>
      <c r="K118" s="105">
        <v>40000</v>
      </c>
      <c r="L118" s="105">
        <v>40000</v>
      </c>
      <c r="M118" s="105">
        <v>39911</v>
      </c>
      <c r="N118" s="105"/>
      <c r="O118" s="106"/>
      <c r="P118" s="15">
        <v>20000</v>
      </c>
      <c r="Q118" s="15"/>
      <c r="R118" s="15">
        <f t="shared" si="43"/>
        <v>20000</v>
      </c>
      <c r="S118" s="15">
        <v>20000</v>
      </c>
      <c r="T118" s="15"/>
      <c r="U118" s="15">
        <v>19911</v>
      </c>
      <c r="V118" s="15">
        <v>377</v>
      </c>
      <c r="W118" s="15">
        <f t="shared" si="44"/>
        <v>18580.90324</v>
      </c>
      <c r="X118" s="15">
        <v>18440.97424</v>
      </c>
      <c r="Y118" s="15">
        <v>139.929</v>
      </c>
      <c r="Z118" s="15"/>
      <c r="AA118" s="15"/>
      <c r="AB118" s="15">
        <f>AC118+AD118</f>
        <v>0</v>
      </c>
      <c r="AC118" s="15"/>
      <c r="AD118" s="15"/>
      <c r="AE118" s="15"/>
      <c r="AF118" s="90"/>
      <c r="AG118" s="90"/>
      <c r="AH118" s="90"/>
      <c r="AI118" s="90"/>
      <c r="AJ118" s="90"/>
      <c r="AK118" s="90"/>
      <c r="AL118" s="90"/>
      <c r="AM118" s="90"/>
      <c r="AN118" s="90"/>
      <c r="AO118" s="139">
        <f t="shared" si="41"/>
        <v>39911</v>
      </c>
      <c r="AP118" s="141">
        <f t="shared" si="42"/>
        <v>0</v>
      </c>
      <c r="AQ118" s="90"/>
      <c r="AS118" s="7">
        <v>1</v>
      </c>
      <c r="AT118" s="7"/>
      <c r="AU118" s="7"/>
      <c r="AV118" s="7"/>
    </row>
    <row r="119" spans="1:48" s="9" customFormat="1" ht="17.25">
      <c r="A119" s="81" t="s">
        <v>359</v>
      </c>
      <c r="B119" s="82" t="s">
        <v>194</v>
      </c>
      <c r="C119" s="77"/>
      <c r="D119" s="77"/>
      <c r="E119" s="77"/>
      <c r="F119" s="77"/>
      <c r="G119" s="77"/>
      <c r="H119" s="102"/>
      <c r="I119" s="104">
        <f>I120+I122</f>
        <v>105000</v>
      </c>
      <c r="J119" s="104">
        <f t="shared" ref="J119:AN119" si="57">J120+J122</f>
        <v>83000</v>
      </c>
      <c r="K119" s="104">
        <f t="shared" si="57"/>
        <v>18000</v>
      </c>
      <c r="L119" s="104">
        <f t="shared" si="57"/>
        <v>0</v>
      </c>
      <c r="M119" s="104">
        <f t="shared" si="57"/>
        <v>83000</v>
      </c>
      <c r="N119" s="104">
        <f t="shared" si="57"/>
        <v>0</v>
      </c>
      <c r="O119" s="104">
        <f t="shared" si="57"/>
        <v>0</v>
      </c>
      <c r="P119" s="104">
        <f t="shared" si="57"/>
        <v>23300</v>
      </c>
      <c r="Q119" s="104">
        <f t="shared" si="57"/>
        <v>0</v>
      </c>
      <c r="R119" s="104">
        <f t="shared" si="57"/>
        <v>22301.281326</v>
      </c>
      <c r="S119" s="104">
        <f t="shared" si="57"/>
        <v>22301.281326</v>
      </c>
      <c r="T119" s="104">
        <f t="shared" si="57"/>
        <v>0</v>
      </c>
      <c r="U119" s="104">
        <f t="shared" si="57"/>
        <v>9000</v>
      </c>
      <c r="V119" s="104">
        <f t="shared" si="57"/>
        <v>0</v>
      </c>
      <c r="W119" s="104">
        <f t="shared" si="57"/>
        <v>8992.4280639999997</v>
      </c>
      <c r="X119" s="104">
        <f t="shared" si="57"/>
        <v>8992.4280639999997</v>
      </c>
      <c r="Y119" s="104">
        <f t="shared" si="57"/>
        <v>0</v>
      </c>
      <c r="Z119" s="104">
        <f t="shared" si="57"/>
        <v>30728</v>
      </c>
      <c r="AA119" s="104">
        <f t="shared" si="57"/>
        <v>0</v>
      </c>
      <c r="AB119" s="104">
        <f t="shared" si="57"/>
        <v>30728</v>
      </c>
      <c r="AC119" s="104">
        <f t="shared" si="57"/>
        <v>30728</v>
      </c>
      <c r="AD119" s="104">
        <f t="shared" si="57"/>
        <v>0</v>
      </c>
      <c r="AE119" s="104">
        <f t="shared" si="57"/>
        <v>18292</v>
      </c>
      <c r="AF119" s="104">
        <f t="shared" si="57"/>
        <v>0</v>
      </c>
      <c r="AG119" s="104">
        <f t="shared" si="57"/>
        <v>18292</v>
      </c>
      <c r="AH119" s="104">
        <f t="shared" si="57"/>
        <v>18292</v>
      </c>
      <c r="AI119" s="104">
        <f t="shared" si="57"/>
        <v>0</v>
      </c>
      <c r="AJ119" s="104">
        <f t="shared" si="57"/>
        <v>0</v>
      </c>
      <c r="AK119" s="104">
        <f t="shared" si="57"/>
        <v>0</v>
      </c>
      <c r="AL119" s="104">
        <f t="shared" si="57"/>
        <v>0</v>
      </c>
      <c r="AM119" s="104">
        <f t="shared" si="57"/>
        <v>0</v>
      </c>
      <c r="AN119" s="104">
        <f t="shared" si="57"/>
        <v>0</v>
      </c>
      <c r="AO119" s="139">
        <f t="shared" si="41"/>
        <v>81320</v>
      </c>
      <c r="AP119" s="141">
        <f t="shared" si="42"/>
        <v>1680</v>
      </c>
      <c r="AQ119" s="90"/>
      <c r="AS119" s="7"/>
      <c r="AT119" s="7"/>
      <c r="AU119" s="7"/>
      <c r="AV119" s="7"/>
    </row>
    <row r="120" spans="1:48" s="9" customFormat="1" ht="30">
      <c r="A120" s="81" t="s">
        <v>120</v>
      </c>
      <c r="B120" s="82" t="s">
        <v>35</v>
      </c>
      <c r="C120" s="77"/>
      <c r="D120" s="77"/>
      <c r="E120" s="77"/>
      <c r="F120" s="77"/>
      <c r="G120" s="77"/>
      <c r="H120" s="102"/>
      <c r="I120" s="104">
        <f>I121</f>
        <v>45000</v>
      </c>
      <c r="J120" s="104">
        <f t="shared" ref="J120:AN120" si="58">J121</f>
        <v>23000</v>
      </c>
      <c r="K120" s="104">
        <f t="shared" si="58"/>
        <v>18000</v>
      </c>
      <c r="L120" s="104">
        <f t="shared" si="58"/>
        <v>0</v>
      </c>
      <c r="M120" s="104">
        <f t="shared" si="58"/>
        <v>23000</v>
      </c>
      <c r="N120" s="104">
        <f t="shared" si="58"/>
        <v>0</v>
      </c>
      <c r="O120" s="104">
        <f t="shared" si="58"/>
        <v>0</v>
      </c>
      <c r="P120" s="104">
        <f t="shared" si="58"/>
        <v>23000</v>
      </c>
      <c r="Q120" s="104">
        <f t="shared" si="58"/>
        <v>0</v>
      </c>
      <c r="R120" s="104">
        <f t="shared" si="58"/>
        <v>22001.281326</v>
      </c>
      <c r="S120" s="104">
        <f t="shared" si="58"/>
        <v>22001.281326</v>
      </c>
      <c r="T120" s="104">
        <f t="shared" si="58"/>
        <v>0</v>
      </c>
      <c r="U120" s="104">
        <f t="shared" si="58"/>
        <v>0</v>
      </c>
      <c r="V120" s="104">
        <f t="shared" si="58"/>
        <v>0</v>
      </c>
      <c r="W120" s="104">
        <f t="shared" si="58"/>
        <v>0</v>
      </c>
      <c r="X120" s="104">
        <f t="shared" si="58"/>
        <v>0</v>
      </c>
      <c r="Y120" s="104">
        <f t="shared" si="58"/>
        <v>0</v>
      </c>
      <c r="Z120" s="104">
        <f t="shared" si="58"/>
        <v>0</v>
      </c>
      <c r="AA120" s="104">
        <f t="shared" si="58"/>
        <v>0</v>
      </c>
      <c r="AB120" s="104">
        <f t="shared" si="58"/>
        <v>0</v>
      </c>
      <c r="AC120" s="104">
        <f t="shared" si="58"/>
        <v>0</v>
      </c>
      <c r="AD120" s="104">
        <f t="shared" si="58"/>
        <v>0</v>
      </c>
      <c r="AE120" s="104">
        <f t="shared" si="58"/>
        <v>0</v>
      </c>
      <c r="AF120" s="104">
        <f t="shared" si="58"/>
        <v>0</v>
      </c>
      <c r="AG120" s="104">
        <f t="shared" si="58"/>
        <v>0</v>
      </c>
      <c r="AH120" s="104">
        <f t="shared" si="58"/>
        <v>0</v>
      </c>
      <c r="AI120" s="104">
        <f t="shared" si="58"/>
        <v>0</v>
      </c>
      <c r="AJ120" s="104">
        <f t="shared" si="58"/>
        <v>0</v>
      </c>
      <c r="AK120" s="104">
        <f t="shared" si="58"/>
        <v>0</v>
      </c>
      <c r="AL120" s="104">
        <f t="shared" si="58"/>
        <v>0</v>
      </c>
      <c r="AM120" s="104">
        <f t="shared" si="58"/>
        <v>0</v>
      </c>
      <c r="AN120" s="104">
        <f t="shared" si="58"/>
        <v>0</v>
      </c>
      <c r="AO120" s="139">
        <f t="shared" si="41"/>
        <v>23000</v>
      </c>
      <c r="AP120" s="141">
        <f t="shared" si="42"/>
        <v>0</v>
      </c>
      <c r="AQ120" s="90"/>
      <c r="AS120" s="7"/>
      <c r="AT120" s="7"/>
      <c r="AU120" s="7"/>
      <c r="AV120" s="7"/>
    </row>
    <row r="121" spans="1:48" s="9" customFormat="1" ht="131.25">
      <c r="A121" s="95">
        <v>1</v>
      </c>
      <c r="B121" s="96" t="s">
        <v>195</v>
      </c>
      <c r="C121" s="77" t="s">
        <v>38</v>
      </c>
      <c r="D121" s="77"/>
      <c r="E121" s="77">
        <v>2017</v>
      </c>
      <c r="F121" s="77">
        <v>2021</v>
      </c>
      <c r="G121" s="77"/>
      <c r="H121" s="91" t="s">
        <v>337</v>
      </c>
      <c r="I121" s="105">
        <v>45000</v>
      </c>
      <c r="J121" s="105">
        <v>23000</v>
      </c>
      <c r="K121" s="105">
        <v>18000</v>
      </c>
      <c r="L121" s="105"/>
      <c r="M121" s="105">
        <v>23000</v>
      </c>
      <c r="N121" s="105"/>
      <c r="O121" s="106"/>
      <c r="P121" s="15">
        <v>23000</v>
      </c>
      <c r="Q121" s="15"/>
      <c r="R121" s="15">
        <f t="shared" si="43"/>
        <v>22001.281326</v>
      </c>
      <c r="S121" s="15">
        <v>22001.281326</v>
      </c>
      <c r="T121" s="15"/>
      <c r="U121" s="15"/>
      <c r="V121" s="15"/>
      <c r="W121" s="15">
        <f t="shared" si="44"/>
        <v>0</v>
      </c>
      <c r="X121" s="15"/>
      <c r="Y121" s="15"/>
      <c r="Z121" s="15"/>
      <c r="AA121" s="15"/>
      <c r="AB121" s="15">
        <f>AC121+AD121</f>
        <v>0</v>
      </c>
      <c r="AC121" s="15"/>
      <c r="AD121" s="15"/>
      <c r="AE121" s="15"/>
      <c r="AF121" s="90"/>
      <c r="AG121" s="90"/>
      <c r="AH121" s="90"/>
      <c r="AI121" s="90"/>
      <c r="AJ121" s="90"/>
      <c r="AK121" s="90"/>
      <c r="AL121" s="90"/>
      <c r="AM121" s="90"/>
      <c r="AN121" s="90"/>
      <c r="AO121" s="139">
        <f t="shared" si="41"/>
        <v>23000</v>
      </c>
      <c r="AP121" s="141">
        <f t="shared" si="42"/>
        <v>0</v>
      </c>
      <c r="AQ121" s="90"/>
      <c r="AS121" s="7">
        <v>1</v>
      </c>
      <c r="AT121" s="7"/>
      <c r="AU121" s="7"/>
      <c r="AV121" s="7"/>
    </row>
    <row r="122" spans="1:48" s="9" customFormat="1" ht="30">
      <c r="A122" s="81" t="s">
        <v>122</v>
      </c>
      <c r="B122" s="82" t="s">
        <v>36</v>
      </c>
      <c r="C122" s="77"/>
      <c r="D122" s="77"/>
      <c r="E122" s="77"/>
      <c r="F122" s="77"/>
      <c r="G122" s="77"/>
      <c r="H122" s="102"/>
      <c r="I122" s="104">
        <f>SUM(I124:I124)</f>
        <v>60000</v>
      </c>
      <c r="J122" s="104">
        <f t="shared" ref="J122:AN122" si="59">SUM(J124:J124)</f>
        <v>60000</v>
      </c>
      <c r="K122" s="104">
        <f t="shared" si="59"/>
        <v>0</v>
      </c>
      <c r="L122" s="104">
        <f t="shared" si="59"/>
        <v>0</v>
      </c>
      <c r="M122" s="104">
        <f t="shared" si="59"/>
        <v>60000</v>
      </c>
      <c r="N122" s="104">
        <f t="shared" si="59"/>
        <v>0</v>
      </c>
      <c r="O122" s="104">
        <f t="shared" si="59"/>
        <v>0</v>
      </c>
      <c r="P122" s="104">
        <f t="shared" si="59"/>
        <v>300</v>
      </c>
      <c r="Q122" s="104">
        <f t="shared" si="59"/>
        <v>0</v>
      </c>
      <c r="R122" s="104">
        <f t="shared" si="59"/>
        <v>300</v>
      </c>
      <c r="S122" s="104">
        <f t="shared" si="59"/>
        <v>300</v>
      </c>
      <c r="T122" s="104">
        <f t="shared" si="59"/>
        <v>0</v>
      </c>
      <c r="U122" s="104">
        <f t="shared" si="59"/>
        <v>9000</v>
      </c>
      <c r="V122" s="104">
        <f t="shared" si="59"/>
        <v>0</v>
      </c>
      <c r="W122" s="104">
        <f t="shared" si="59"/>
        <v>8992.4280639999997</v>
      </c>
      <c r="X122" s="104">
        <f t="shared" si="59"/>
        <v>8992.4280639999997</v>
      </c>
      <c r="Y122" s="104">
        <f t="shared" si="59"/>
        <v>0</v>
      </c>
      <c r="Z122" s="104">
        <f t="shared" si="59"/>
        <v>30728</v>
      </c>
      <c r="AA122" s="104">
        <f t="shared" si="59"/>
        <v>0</v>
      </c>
      <c r="AB122" s="104">
        <f t="shared" si="59"/>
        <v>30728</v>
      </c>
      <c r="AC122" s="104">
        <f t="shared" si="59"/>
        <v>30728</v>
      </c>
      <c r="AD122" s="104">
        <f t="shared" si="59"/>
        <v>0</v>
      </c>
      <c r="AE122" s="104">
        <f t="shared" si="59"/>
        <v>18292</v>
      </c>
      <c r="AF122" s="104">
        <f t="shared" si="59"/>
        <v>0</v>
      </c>
      <c r="AG122" s="104">
        <f t="shared" si="59"/>
        <v>18292</v>
      </c>
      <c r="AH122" s="104">
        <f t="shared" si="59"/>
        <v>18292</v>
      </c>
      <c r="AI122" s="104">
        <f t="shared" si="59"/>
        <v>0</v>
      </c>
      <c r="AJ122" s="104">
        <f t="shared" si="59"/>
        <v>0</v>
      </c>
      <c r="AK122" s="104">
        <f t="shared" si="59"/>
        <v>0</v>
      </c>
      <c r="AL122" s="104">
        <f t="shared" si="59"/>
        <v>0</v>
      </c>
      <c r="AM122" s="104">
        <f t="shared" si="59"/>
        <v>0</v>
      </c>
      <c r="AN122" s="104">
        <f t="shared" si="59"/>
        <v>0</v>
      </c>
      <c r="AO122" s="139">
        <f t="shared" si="41"/>
        <v>58320</v>
      </c>
      <c r="AP122" s="141">
        <f t="shared" si="42"/>
        <v>1680</v>
      </c>
      <c r="AQ122" s="90"/>
      <c r="AS122" s="7"/>
      <c r="AT122" s="7"/>
      <c r="AU122" s="7"/>
      <c r="AV122" s="7"/>
    </row>
    <row r="123" spans="1:48" s="9" customFormat="1" ht="30">
      <c r="A123" s="85" t="s">
        <v>96</v>
      </c>
      <c r="B123" s="86" t="s">
        <v>123</v>
      </c>
      <c r="C123" s="77"/>
      <c r="D123" s="77"/>
      <c r="E123" s="77"/>
      <c r="F123" s="77"/>
      <c r="G123" s="77"/>
      <c r="H123" s="107"/>
      <c r="I123" s="108">
        <f>I124</f>
        <v>60000</v>
      </c>
      <c r="J123" s="108">
        <f t="shared" ref="J123:AN123" si="60">J124</f>
        <v>60000</v>
      </c>
      <c r="K123" s="108">
        <f t="shared" si="60"/>
        <v>0</v>
      </c>
      <c r="L123" s="108">
        <f t="shared" si="60"/>
        <v>0</v>
      </c>
      <c r="M123" s="108">
        <f t="shared" si="60"/>
        <v>60000</v>
      </c>
      <c r="N123" s="108">
        <f t="shared" si="60"/>
        <v>0</v>
      </c>
      <c r="O123" s="108">
        <f t="shared" si="60"/>
        <v>0</v>
      </c>
      <c r="P123" s="108">
        <f t="shared" si="60"/>
        <v>300</v>
      </c>
      <c r="Q123" s="108">
        <f t="shared" si="60"/>
        <v>0</v>
      </c>
      <c r="R123" s="108">
        <f t="shared" si="60"/>
        <v>300</v>
      </c>
      <c r="S123" s="108">
        <f t="shared" si="60"/>
        <v>300</v>
      </c>
      <c r="T123" s="108">
        <f t="shared" si="60"/>
        <v>0</v>
      </c>
      <c r="U123" s="108">
        <f t="shared" si="60"/>
        <v>9000</v>
      </c>
      <c r="V123" s="108">
        <f t="shared" si="60"/>
        <v>0</v>
      </c>
      <c r="W123" s="108">
        <f t="shared" si="60"/>
        <v>8992.4280639999997</v>
      </c>
      <c r="X123" s="108">
        <f t="shared" si="60"/>
        <v>8992.4280639999997</v>
      </c>
      <c r="Y123" s="108">
        <f t="shared" si="60"/>
        <v>0</v>
      </c>
      <c r="Z123" s="108">
        <f t="shared" si="60"/>
        <v>30728</v>
      </c>
      <c r="AA123" s="108">
        <f t="shared" si="60"/>
        <v>0</v>
      </c>
      <c r="AB123" s="108">
        <f t="shared" si="60"/>
        <v>30728</v>
      </c>
      <c r="AC123" s="108">
        <f t="shared" si="60"/>
        <v>30728</v>
      </c>
      <c r="AD123" s="108">
        <f t="shared" si="60"/>
        <v>0</v>
      </c>
      <c r="AE123" s="108">
        <f t="shared" si="60"/>
        <v>18292</v>
      </c>
      <c r="AF123" s="108">
        <f t="shared" si="60"/>
        <v>0</v>
      </c>
      <c r="AG123" s="108">
        <f t="shared" si="60"/>
        <v>18292</v>
      </c>
      <c r="AH123" s="108">
        <f t="shared" si="60"/>
        <v>18292</v>
      </c>
      <c r="AI123" s="108">
        <f t="shared" si="60"/>
        <v>0</v>
      </c>
      <c r="AJ123" s="108">
        <f t="shared" si="60"/>
        <v>0</v>
      </c>
      <c r="AK123" s="108">
        <f t="shared" si="60"/>
        <v>0</v>
      </c>
      <c r="AL123" s="108">
        <f t="shared" si="60"/>
        <v>0</v>
      </c>
      <c r="AM123" s="108">
        <f t="shared" si="60"/>
        <v>0</v>
      </c>
      <c r="AN123" s="108">
        <f t="shared" si="60"/>
        <v>0</v>
      </c>
      <c r="AO123" s="139">
        <f t="shared" si="41"/>
        <v>58320</v>
      </c>
      <c r="AP123" s="141">
        <f t="shared" si="42"/>
        <v>1680</v>
      </c>
      <c r="AQ123" s="90"/>
      <c r="AS123" s="7"/>
      <c r="AT123" s="7"/>
      <c r="AU123" s="7"/>
      <c r="AV123" s="7"/>
    </row>
    <row r="124" spans="1:48" s="9" customFormat="1" ht="96.75" customHeight="1">
      <c r="A124" s="95">
        <v>1</v>
      </c>
      <c r="B124" s="96" t="s">
        <v>196</v>
      </c>
      <c r="C124" s="77" t="s">
        <v>38</v>
      </c>
      <c r="D124" s="77"/>
      <c r="E124" s="77">
        <v>2021</v>
      </c>
      <c r="F124" s="77">
        <v>2024</v>
      </c>
      <c r="G124" s="77"/>
      <c r="H124" s="91" t="s">
        <v>338</v>
      </c>
      <c r="I124" s="105">
        <v>60000</v>
      </c>
      <c r="J124" s="105">
        <v>60000</v>
      </c>
      <c r="K124" s="105"/>
      <c r="L124" s="105"/>
      <c r="M124" s="105">
        <v>60000</v>
      </c>
      <c r="N124" s="105"/>
      <c r="O124" s="106"/>
      <c r="P124" s="15">
        <v>300</v>
      </c>
      <c r="Q124" s="15"/>
      <c r="R124" s="15">
        <f t="shared" si="43"/>
        <v>300</v>
      </c>
      <c r="S124" s="15">
        <v>300</v>
      </c>
      <c r="T124" s="15"/>
      <c r="U124" s="15">
        <v>9000</v>
      </c>
      <c r="V124" s="15"/>
      <c r="W124" s="15">
        <f t="shared" si="44"/>
        <v>8992.4280639999997</v>
      </c>
      <c r="X124" s="15">
        <v>8992.4280639999997</v>
      </c>
      <c r="Y124" s="15"/>
      <c r="Z124" s="15">
        <v>30728</v>
      </c>
      <c r="AA124" s="15"/>
      <c r="AB124" s="15">
        <f>AC124+AD124</f>
        <v>30728</v>
      </c>
      <c r="AC124" s="15">
        <v>30728</v>
      </c>
      <c r="AD124" s="15"/>
      <c r="AE124" s="143">
        <v>18292</v>
      </c>
      <c r="AF124" s="90"/>
      <c r="AG124" s="15">
        <v>18292</v>
      </c>
      <c r="AH124" s="15">
        <v>18292</v>
      </c>
      <c r="AI124" s="90"/>
      <c r="AJ124" s="90"/>
      <c r="AK124" s="90"/>
      <c r="AL124" s="90"/>
      <c r="AM124" s="90"/>
      <c r="AN124" s="90"/>
      <c r="AO124" s="139">
        <f t="shared" si="41"/>
        <v>58320</v>
      </c>
      <c r="AP124" s="141">
        <f t="shared" si="42"/>
        <v>1680</v>
      </c>
      <c r="AQ124" s="90" t="s">
        <v>1044</v>
      </c>
      <c r="AS124" s="7"/>
      <c r="AT124" s="7">
        <v>1</v>
      </c>
      <c r="AU124" s="7"/>
      <c r="AV124" s="7"/>
    </row>
    <row r="125" spans="1:48" s="9" customFormat="1" ht="17.25">
      <c r="A125" s="81" t="s">
        <v>360</v>
      </c>
      <c r="B125" s="82" t="s">
        <v>197</v>
      </c>
      <c r="C125" s="77"/>
      <c r="D125" s="77"/>
      <c r="E125" s="77"/>
      <c r="F125" s="77"/>
      <c r="G125" s="77"/>
      <c r="H125" s="102"/>
      <c r="I125" s="104">
        <f>I126</f>
        <v>53202</v>
      </c>
      <c r="J125" s="104">
        <f t="shared" ref="J125:AN126" si="61">J126</f>
        <v>44699</v>
      </c>
      <c r="K125" s="104">
        <f t="shared" si="61"/>
        <v>700</v>
      </c>
      <c r="L125" s="104">
        <f t="shared" si="61"/>
        <v>0</v>
      </c>
      <c r="M125" s="104">
        <f t="shared" si="61"/>
        <v>32138</v>
      </c>
      <c r="N125" s="104">
        <f t="shared" si="61"/>
        <v>0</v>
      </c>
      <c r="O125" s="104">
        <f t="shared" si="61"/>
        <v>0</v>
      </c>
      <c r="P125" s="104">
        <f t="shared" si="61"/>
        <v>0</v>
      </c>
      <c r="Q125" s="104">
        <f t="shared" si="61"/>
        <v>0</v>
      </c>
      <c r="R125" s="104">
        <f t="shared" si="61"/>
        <v>0</v>
      </c>
      <c r="S125" s="104">
        <f t="shared" si="61"/>
        <v>0</v>
      </c>
      <c r="T125" s="104">
        <f t="shared" si="61"/>
        <v>0</v>
      </c>
      <c r="U125" s="104">
        <f t="shared" si="61"/>
        <v>16274</v>
      </c>
      <c r="V125" s="104">
        <f t="shared" si="61"/>
        <v>0</v>
      </c>
      <c r="W125" s="104">
        <f t="shared" si="61"/>
        <v>15383.194299999999</v>
      </c>
      <c r="X125" s="104">
        <f t="shared" si="61"/>
        <v>15383.194299999999</v>
      </c>
      <c r="Y125" s="104">
        <f t="shared" si="61"/>
        <v>0</v>
      </c>
      <c r="Z125" s="104">
        <f t="shared" si="61"/>
        <v>8000</v>
      </c>
      <c r="AA125" s="104">
        <f t="shared" si="61"/>
        <v>0</v>
      </c>
      <c r="AB125" s="104">
        <f t="shared" si="61"/>
        <v>8000</v>
      </c>
      <c r="AC125" s="104">
        <f t="shared" si="61"/>
        <v>8000</v>
      </c>
      <c r="AD125" s="104">
        <f t="shared" si="61"/>
        <v>0</v>
      </c>
      <c r="AE125" s="104">
        <f t="shared" si="61"/>
        <v>7864</v>
      </c>
      <c r="AF125" s="104">
        <f t="shared" si="61"/>
        <v>0</v>
      </c>
      <c r="AG125" s="104">
        <f t="shared" si="61"/>
        <v>7139</v>
      </c>
      <c r="AH125" s="104">
        <f t="shared" si="61"/>
        <v>7139</v>
      </c>
      <c r="AI125" s="104">
        <f t="shared" si="61"/>
        <v>0</v>
      </c>
      <c r="AJ125" s="104">
        <f t="shared" si="61"/>
        <v>0</v>
      </c>
      <c r="AK125" s="104">
        <f t="shared" si="61"/>
        <v>0</v>
      </c>
      <c r="AL125" s="104">
        <f t="shared" si="61"/>
        <v>0</v>
      </c>
      <c r="AM125" s="104">
        <f t="shared" si="61"/>
        <v>0</v>
      </c>
      <c r="AN125" s="104">
        <f t="shared" si="61"/>
        <v>0</v>
      </c>
      <c r="AO125" s="139">
        <f t="shared" si="41"/>
        <v>32138</v>
      </c>
      <c r="AP125" s="141">
        <f t="shared" si="42"/>
        <v>0</v>
      </c>
      <c r="AQ125" s="90"/>
      <c r="AS125" s="7"/>
      <c r="AT125" s="7"/>
      <c r="AU125" s="7"/>
      <c r="AV125" s="7"/>
    </row>
    <row r="126" spans="1:48" s="9" customFormat="1" ht="30">
      <c r="A126" s="81" t="s">
        <v>120</v>
      </c>
      <c r="B126" s="82" t="s">
        <v>35</v>
      </c>
      <c r="C126" s="77"/>
      <c r="D126" s="77"/>
      <c r="E126" s="77"/>
      <c r="F126" s="77"/>
      <c r="G126" s="77"/>
      <c r="H126" s="102"/>
      <c r="I126" s="104">
        <f>I127</f>
        <v>53202</v>
      </c>
      <c r="J126" s="104">
        <f t="shared" si="61"/>
        <v>44699</v>
      </c>
      <c r="K126" s="104">
        <f t="shared" si="61"/>
        <v>700</v>
      </c>
      <c r="L126" s="104">
        <f t="shared" si="61"/>
        <v>0</v>
      </c>
      <c r="M126" s="104">
        <f t="shared" si="61"/>
        <v>32138</v>
      </c>
      <c r="N126" s="104">
        <f t="shared" si="61"/>
        <v>0</v>
      </c>
      <c r="O126" s="104">
        <f t="shared" si="61"/>
        <v>0</v>
      </c>
      <c r="P126" s="104">
        <f t="shared" si="61"/>
        <v>0</v>
      </c>
      <c r="Q126" s="104">
        <f t="shared" si="61"/>
        <v>0</v>
      </c>
      <c r="R126" s="104">
        <f t="shared" si="61"/>
        <v>0</v>
      </c>
      <c r="S126" s="104">
        <f t="shared" si="61"/>
        <v>0</v>
      </c>
      <c r="T126" s="104">
        <f t="shared" si="61"/>
        <v>0</v>
      </c>
      <c r="U126" s="104">
        <f t="shared" si="61"/>
        <v>16274</v>
      </c>
      <c r="V126" s="104">
        <f t="shared" si="61"/>
        <v>0</v>
      </c>
      <c r="W126" s="104">
        <f t="shared" si="61"/>
        <v>15383.194299999999</v>
      </c>
      <c r="X126" s="104">
        <f t="shared" si="61"/>
        <v>15383.194299999999</v>
      </c>
      <c r="Y126" s="104">
        <f t="shared" si="61"/>
        <v>0</v>
      </c>
      <c r="Z126" s="104">
        <f t="shared" si="61"/>
        <v>8000</v>
      </c>
      <c r="AA126" s="104">
        <f t="shared" si="61"/>
        <v>0</v>
      </c>
      <c r="AB126" s="104">
        <f t="shared" si="61"/>
        <v>8000</v>
      </c>
      <c r="AC126" s="104">
        <f t="shared" si="61"/>
        <v>8000</v>
      </c>
      <c r="AD126" s="104">
        <f t="shared" si="61"/>
        <v>0</v>
      </c>
      <c r="AE126" s="104">
        <f t="shared" si="61"/>
        <v>7864</v>
      </c>
      <c r="AF126" s="104">
        <f t="shared" si="61"/>
        <v>0</v>
      </c>
      <c r="AG126" s="104">
        <f t="shared" si="61"/>
        <v>7139</v>
      </c>
      <c r="AH126" s="104">
        <f t="shared" si="61"/>
        <v>7139</v>
      </c>
      <c r="AI126" s="104">
        <f t="shared" si="61"/>
        <v>0</v>
      </c>
      <c r="AJ126" s="104">
        <f t="shared" si="61"/>
        <v>0</v>
      </c>
      <c r="AK126" s="104">
        <f t="shared" si="61"/>
        <v>0</v>
      </c>
      <c r="AL126" s="104">
        <f t="shared" si="61"/>
        <v>0</v>
      </c>
      <c r="AM126" s="104">
        <f t="shared" si="61"/>
        <v>0</v>
      </c>
      <c r="AN126" s="104">
        <f t="shared" si="61"/>
        <v>0</v>
      </c>
      <c r="AO126" s="139">
        <f t="shared" si="41"/>
        <v>32138</v>
      </c>
      <c r="AP126" s="141">
        <f t="shared" si="42"/>
        <v>0</v>
      </c>
      <c r="AQ126" s="90"/>
      <c r="AS126" s="7"/>
      <c r="AT126" s="7"/>
      <c r="AU126" s="7"/>
      <c r="AV126" s="7"/>
    </row>
    <row r="127" spans="1:48" s="9" customFormat="1" ht="55.5" customHeight="1">
      <c r="A127" s="94" t="s">
        <v>144</v>
      </c>
      <c r="B127" s="83" t="s">
        <v>198</v>
      </c>
      <c r="C127" s="77" t="s">
        <v>38</v>
      </c>
      <c r="D127" s="77"/>
      <c r="E127" s="77">
        <v>2020</v>
      </c>
      <c r="F127" s="77">
        <v>2023</v>
      </c>
      <c r="G127" s="77"/>
      <c r="H127" s="91" t="s">
        <v>339</v>
      </c>
      <c r="I127" s="105">
        <v>53202</v>
      </c>
      <c r="J127" s="105">
        <v>44699</v>
      </c>
      <c r="K127" s="105">
        <v>700</v>
      </c>
      <c r="L127" s="105"/>
      <c r="M127" s="113">
        <v>32138</v>
      </c>
      <c r="N127" s="105"/>
      <c r="O127" s="120"/>
      <c r="P127" s="16"/>
      <c r="Q127" s="16"/>
      <c r="R127" s="15">
        <f t="shared" si="43"/>
        <v>0</v>
      </c>
      <c r="S127" s="16"/>
      <c r="T127" s="16"/>
      <c r="U127" s="16">
        <v>16274</v>
      </c>
      <c r="V127" s="16"/>
      <c r="W127" s="15">
        <f t="shared" si="44"/>
        <v>15383.194299999999</v>
      </c>
      <c r="X127" s="16">
        <v>15383.194299999999</v>
      </c>
      <c r="Y127" s="16"/>
      <c r="Z127" s="16">
        <v>8000</v>
      </c>
      <c r="AA127" s="16"/>
      <c r="AB127" s="15">
        <f>AC127+AD127</f>
        <v>8000</v>
      </c>
      <c r="AC127" s="16">
        <v>8000</v>
      </c>
      <c r="AD127" s="16"/>
      <c r="AE127" s="16">
        <v>7864</v>
      </c>
      <c r="AF127" s="90"/>
      <c r="AG127" s="16">
        <v>7139</v>
      </c>
      <c r="AH127" s="16">
        <v>7139</v>
      </c>
      <c r="AI127" s="90"/>
      <c r="AJ127" s="90"/>
      <c r="AK127" s="90"/>
      <c r="AL127" s="90"/>
      <c r="AM127" s="89"/>
      <c r="AN127" s="90"/>
      <c r="AO127" s="139">
        <f t="shared" si="41"/>
        <v>32138</v>
      </c>
      <c r="AP127" s="141">
        <f t="shared" si="42"/>
        <v>0</v>
      </c>
      <c r="AQ127" s="23" t="s">
        <v>351</v>
      </c>
      <c r="AS127" s="7">
        <v>1</v>
      </c>
      <c r="AT127" s="7"/>
      <c r="AU127" s="7"/>
      <c r="AV127" s="7"/>
    </row>
    <row r="128" spans="1:48" s="9" customFormat="1" ht="44.25" customHeight="1">
      <c r="A128" s="81" t="s">
        <v>361</v>
      </c>
      <c r="B128" s="82" t="s">
        <v>199</v>
      </c>
      <c r="C128" s="77"/>
      <c r="D128" s="77"/>
      <c r="E128" s="77"/>
      <c r="F128" s="77"/>
      <c r="G128" s="77"/>
      <c r="H128" s="102"/>
      <c r="I128" s="104">
        <f>I129</f>
        <v>871065</v>
      </c>
      <c r="J128" s="104">
        <f t="shared" ref="J128:AN128" si="62">J129</f>
        <v>198118</v>
      </c>
      <c r="K128" s="104">
        <f t="shared" si="62"/>
        <v>50000</v>
      </c>
      <c r="L128" s="104">
        <f t="shared" si="62"/>
        <v>50000</v>
      </c>
      <c r="M128" s="104">
        <f t="shared" si="62"/>
        <v>109104</v>
      </c>
      <c r="N128" s="104">
        <f t="shared" si="62"/>
        <v>0</v>
      </c>
      <c r="O128" s="104">
        <f t="shared" si="62"/>
        <v>0</v>
      </c>
      <c r="P128" s="104">
        <f t="shared" si="62"/>
        <v>63738</v>
      </c>
      <c r="Q128" s="104">
        <f t="shared" si="62"/>
        <v>0</v>
      </c>
      <c r="R128" s="104">
        <f t="shared" si="62"/>
        <v>63738</v>
      </c>
      <c r="S128" s="104">
        <f t="shared" si="62"/>
        <v>63738</v>
      </c>
      <c r="T128" s="104">
        <f t="shared" si="62"/>
        <v>0</v>
      </c>
      <c r="U128" s="104">
        <f t="shared" si="62"/>
        <v>45366</v>
      </c>
      <c r="V128" s="104">
        <f t="shared" si="62"/>
        <v>86</v>
      </c>
      <c r="W128" s="104">
        <f t="shared" si="62"/>
        <v>44262.854329000002</v>
      </c>
      <c r="X128" s="104">
        <f t="shared" si="62"/>
        <v>44178.869329000001</v>
      </c>
      <c r="Y128" s="104">
        <f t="shared" si="62"/>
        <v>83.984999999999999</v>
      </c>
      <c r="Z128" s="104">
        <f t="shared" si="62"/>
        <v>0</v>
      </c>
      <c r="AA128" s="104">
        <f t="shared" si="62"/>
        <v>0</v>
      </c>
      <c r="AB128" s="104">
        <f t="shared" si="62"/>
        <v>0</v>
      </c>
      <c r="AC128" s="104">
        <f t="shared" si="62"/>
        <v>0</v>
      </c>
      <c r="AD128" s="104">
        <f t="shared" si="62"/>
        <v>0</v>
      </c>
      <c r="AE128" s="104">
        <f t="shared" si="62"/>
        <v>0</v>
      </c>
      <c r="AF128" s="104">
        <f t="shared" si="62"/>
        <v>0</v>
      </c>
      <c r="AG128" s="104">
        <f t="shared" si="62"/>
        <v>0</v>
      </c>
      <c r="AH128" s="104">
        <f t="shared" si="62"/>
        <v>0</v>
      </c>
      <c r="AI128" s="104">
        <f t="shared" si="62"/>
        <v>0</v>
      </c>
      <c r="AJ128" s="104">
        <f t="shared" si="62"/>
        <v>0</v>
      </c>
      <c r="AK128" s="104">
        <f t="shared" si="62"/>
        <v>0</v>
      </c>
      <c r="AL128" s="104">
        <f t="shared" si="62"/>
        <v>0</v>
      </c>
      <c r="AM128" s="104">
        <f t="shared" si="62"/>
        <v>0</v>
      </c>
      <c r="AN128" s="104">
        <f t="shared" si="62"/>
        <v>0</v>
      </c>
      <c r="AO128" s="139">
        <f t="shared" si="41"/>
        <v>109104</v>
      </c>
      <c r="AP128" s="141">
        <f t="shared" si="42"/>
        <v>0</v>
      </c>
      <c r="AQ128" s="90"/>
      <c r="AS128" s="7"/>
      <c r="AT128" s="7"/>
      <c r="AU128" s="7"/>
      <c r="AV128" s="7"/>
    </row>
    <row r="129" spans="1:48" s="9" customFormat="1" ht="30">
      <c r="A129" s="81" t="s">
        <v>120</v>
      </c>
      <c r="B129" s="82" t="s">
        <v>35</v>
      </c>
      <c r="C129" s="77"/>
      <c r="D129" s="77"/>
      <c r="E129" s="77"/>
      <c r="F129" s="77"/>
      <c r="G129" s="77"/>
      <c r="H129" s="102"/>
      <c r="I129" s="104">
        <f>SUM(I130:I131)</f>
        <v>871065</v>
      </c>
      <c r="J129" s="104">
        <f t="shared" ref="J129:AN129" si="63">SUM(J130:J131)</f>
        <v>198118</v>
      </c>
      <c r="K129" s="104">
        <f t="shared" si="63"/>
        <v>50000</v>
      </c>
      <c r="L129" s="104">
        <f t="shared" si="63"/>
        <v>50000</v>
      </c>
      <c r="M129" s="104">
        <f t="shared" si="63"/>
        <v>109104</v>
      </c>
      <c r="N129" s="104">
        <f t="shared" si="63"/>
        <v>0</v>
      </c>
      <c r="O129" s="104">
        <f t="shared" si="63"/>
        <v>0</v>
      </c>
      <c r="P129" s="104">
        <f t="shared" si="63"/>
        <v>63738</v>
      </c>
      <c r="Q129" s="104">
        <f t="shared" si="63"/>
        <v>0</v>
      </c>
      <c r="R129" s="104">
        <f t="shared" si="63"/>
        <v>63738</v>
      </c>
      <c r="S129" s="104">
        <f t="shared" si="63"/>
        <v>63738</v>
      </c>
      <c r="T129" s="104">
        <f t="shared" si="63"/>
        <v>0</v>
      </c>
      <c r="U129" s="104">
        <f t="shared" si="63"/>
        <v>45366</v>
      </c>
      <c r="V129" s="104">
        <f t="shared" si="63"/>
        <v>86</v>
      </c>
      <c r="W129" s="104">
        <f t="shared" si="63"/>
        <v>44262.854329000002</v>
      </c>
      <c r="X129" s="104">
        <f t="shared" si="63"/>
        <v>44178.869329000001</v>
      </c>
      <c r="Y129" s="104">
        <f t="shared" si="63"/>
        <v>83.984999999999999</v>
      </c>
      <c r="Z129" s="104">
        <f t="shared" si="63"/>
        <v>0</v>
      </c>
      <c r="AA129" s="104">
        <f t="shared" si="63"/>
        <v>0</v>
      </c>
      <c r="AB129" s="104">
        <f t="shared" si="63"/>
        <v>0</v>
      </c>
      <c r="AC129" s="104">
        <f t="shared" si="63"/>
        <v>0</v>
      </c>
      <c r="AD129" s="104">
        <f t="shared" si="63"/>
        <v>0</v>
      </c>
      <c r="AE129" s="104">
        <f t="shared" si="63"/>
        <v>0</v>
      </c>
      <c r="AF129" s="104">
        <f t="shared" si="63"/>
        <v>0</v>
      </c>
      <c r="AG129" s="104">
        <f t="shared" si="63"/>
        <v>0</v>
      </c>
      <c r="AH129" s="104">
        <f t="shared" si="63"/>
        <v>0</v>
      </c>
      <c r="AI129" s="104">
        <f t="shared" si="63"/>
        <v>0</v>
      </c>
      <c r="AJ129" s="104">
        <f t="shared" si="63"/>
        <v>0</v>
      </c>
      <c r="AK129" s="104">
        <f t="shared" si="63"/>
        <v>0</v>
      </c>
      <c r="AL129" s="104">
        <f t="shared" si="63"/>
        <v>0</v>
      </c>
      <c r="AM129" s="104">
        <f t="shared" si="63"/>
        <v>0</v>
      </c>
      <c r="AN129" s="104">
        <f t="shared" si="63"/>
        <v>0</v>
      </c>
      <c r="AO129" s="139">
        <f t="shared" si="41"/>
        <v>109104</v>
      </c>
      <c r="AP129" s="141">
        <f t="shared" si="42"/>
        <v>0</v>
      </c>
      <c r="AQ129" s="90"/>
      <c r="AS129" s="7"/>
      <c r="AT129" s="7"/>
      <c r="AU129" s="7"/>
      <c r="AV129" s="7"/>
    </row>
    <row r="130" spans="1:48" s="9" customFormat="1" ht="52.5">
      <c r="A130" s="95">
        <v>1</v>
      </c>
      <c r="B130" s="96" t="s">
        <v>200</v>
      </c>
      <c r="C130" s="77" t="s">
        <v>38</v>
      </c>
      <c r="D130" s="77" t="s">
        <v>230</v>
      </c>
      <c r="E130" s="77">
        <v>2019</v>
      </c>
      <c r="F130" s="77">
        <v>2022</v>
      </c>
      <c r="G130" s="77" t="s">
        <v>288</v>
      </c>
      <c r="H130" s="91" t="s">
        <v>340</v>
      </c>
      <c r="I130" s="105">
        <v>139000</v>
      </c>
      <c r="J130" s="105">
        <v>90000</v>
      </c>
      <c r="K130" s="105">
        <v>50000</v>
      </c>
      <c r="L130" s="105">
        <v>50000</v>
      </c>
      <c r="M130" s="105">
        <v>40000</v>
      </c>
      <c r="N130" s="105"/>
      <c r="O130" s="106"/>
      <c r="P130" s="15">
        <v>24465</v>
      </c>
      <c r="Q130" s="15"/>
      <c r="R130" s="15">
        <f t="shared" si="43"/>
        <v>24465</v>
      </c>
      <c r="S130" s="15">
        <v>24465</v>
      </c>
      <c r="T130" s="15"/>
      <c r="U130" s="15">
        <v>15535</v>
      </c>
      <c r="V130" s="15"/>
      <c r="W130" s="15">
        <f t="shared" si="44"/>
        <v>15535</v>
      </c>
      <c r="X130" s="15">
        <v>15535</v>
      </c>
      <c r="Y130" s="15"/>
      <c r="Z130" s="15"/>
      <c r="AA130" s="15"/>
      <c r="AB130" s="15">
        <f>AC130+AD130</f>
        <v>0</v>
      </c>
      <c r="AC130" s="15"/>
      <c r="AD130" s="15"/>
      <c r="AE130" s="15"/>
      <c r="AF130" s="90"/>
      <c r="AG130" s="90"/>
      <c r="AH130" s="90"/>
      <c r="AI130" s="90"/>
      <c r="AJ130" s="90"/>
      <c r="AK130" s="90"/>
      <c r="AL130" s="90"/>
      <c r="AM130" s="90"/>
      <c r="AN130" s="90"/>
      <c r="AO130" s="139">
        <f t="shared" si="41"/>
        <v>40000</v>
      </c>
      <c r="AP130" s="141">
        <f t="shared" si="42"/>
        <v>0</v>
      </c>
      <c r="AQ130" s="90"/>
      <c r="AS130" s="7">
        <v>1</v>
      </c>
      <c r="AT130" s="7"/>
      <c r="AU130" s="7"/>
      <c r="AV130" s="7"/>
    </row>
    <row r="131" spans="1:48" s="9" customFormat="1" ht="46.15">
      <c r="A131" s="95">
        <v>2</v>
      </c>
      <c r="B131" s="96" t="s">
        <v>201</v>
      </c>
      <c r="C131" s="77" t="s">
        <v>38</v>
      </c>
      <c r="D131" s="77" t="s">
        <v>229</v>
      </c>
      <c r="E131" s="77">
        <v>2016</v>
      </c>
      <c r="F131" s="77">
        <v>2022</v>
      </c>
      <c r="G131" s="77"/>
      <c r="H131" s="91" t="s">
        <v>341</v>
      </c>
      <c r="I131" s="105">
        <v>732065</v>
      </c>
      <c r="J131" s="105">
        <v>108118</v>
      </c>
      <c r="K131" s="105"/>
      <c r="L131" s="105"/>
      <c r="M131" s="105">
        <v>69104</v>
      </c>
      <c r="N131" s="105"/>
      <c r="O131" s="106"/>
      <c r="P131" s="15">
        <v>39273</v>
      </c>
      <c r="Q131" s="15"/>
      <c r="R131" s="15">
        <f t="shared" si="43"/>
        <v>39273</v>
      </c>
      <c r="S131" s="15">
        <v>39273</v>
      </c>
      <c r="T131" s="15"/>
      <c r="U131" s="15">
        <v>29831</v>
      </c>
      <c r="V131" s="15">
        <v>86</v>
      </c>
      <c r="W131" s="15">
        <f t="shared" si="44"/>
        <v>28727.854329000002</v>
      </c>
      <c r="X131" s="15">
        <v>28643.869329000001</v>
      </c>
      <c r="Y131" s="15">
        <v>83.984999999999999</v>
      </c>
      <c r="Z131" s="15"/>
      <c r="AA131" s="15"/>
      <c r="AB131" s="15">
        <f>AC131+AD131</f>
        <v>0</v>
      </c>
      <c r="AC131" s="15"/>
      <c r="AD131" s="15"/>
      <c r="AE131" s="15"/>
      <c r="AF131" s="90"/>
      <c r="AG131" s="90"/>
      <c r="AH131" s="90"/>
      <c r="AI131" s="90"/>
      <c r="AJ131" s="90"/>
      <c r="AK131" s="90"/>
      <c r="AL131" s="90"/>
      <c r="AM131" s="90"/>
      <c r="AN131" s="90"/>
      <c r="AO131" s="139">
        <f t="shared" si="41"/>
        <v>69104</v>
      </c>
      <c r="AP131" s="141">
        <f t="shared" si="42"/>
        <v>0</v>
      </c>
      <c r="AQ131" s="90" t="s">
        <v>352</v>
      </c>
      <c r="AR131" s="122" t="s">
        <v>353</v>
      </c>
      <c r="AS131" s="7">
        <v>0</v>
      </c>
      <c r="AT131" s="7"/>
      <c r="AU131" s="7"/>
      <c r="AV131" s="7"/>
    </row>
    <row r="132" spans="1:48" s="9" customFormat="1" ht="45">
      <c r="A132" s="81" t="s">
        <v>362</v>
      </c>
      <c r="B132" s="82" t="s">
        <v>202</v>
      </c>
      <c r="C132" s="77"/>
      <c r="D132" s="77"/>
      <c r="E132" s="77"/>
      <c r="F132" s="77"/>
      <c r="G132" s="77"/>
      <c r="H132" s="102"/>
      <c r="I132" s="104"/>
      <c r="J132" s="104"/>
      <c r="K132" s="104"/>
      <c r="L132" s="104"/>
      <c r="M132" s="104"/>
      <c r="N132" s="104"/>
      <c r="O132" s="104"/>
      <c r="P132" s="17"/>
      <c r="Q132" s="17"/>
      <c r="R132" s="15">
        <f t="shared" si="43"/>
        <v>0</v>
      </c>
      <c r="S132" s="17"/>
      <c r="T132" s="17"/>
      <c r="U132" s="17"/>
      <c r="V132" s="17"/>
      <c r="W132" s="15">
        <f t="shared" si="44"/>
        <v>0</v>
      </c>
      <c r="X132" s="17"/>
      <c r="Y132" s="17"/>
      <c r="Z132" s="17"/>
      <c r="AA132" s="17"/>
      <c r="AB132" s="17"/>
      <c r="AC132" s="17"/>
      <c r="AD132" s="17"/>
      <c r="AE132" s="17"/>
      <c r="AF132" s="90"/>
      <c r="AG132" s="90"/>
      <c r="AH132" s="90"/>
      <c r="AI132" s="90"/>
      <c r="AJ132" s="90"/>
      <c r="AK132" s="90"/>
      <c r="AL132" s="90"/>
      <c r="AM132" s="90"/>
      <c r="AN132" s="90"/>
      <c r="AO132" s="139">
        <f t="shared" si="41"/>
        <v>0</v>
      </c>
      <c r="AP132" s="141">
        <f t="shared" si="42"/>
        <v>0</v>
      </c>
      <c r="AQ132" s="90"/>
      <c r="AS132" s="7"/>
      <c r="AT132" s="7"/>
      <c r="AU132" s="7"/>
      <c r="AV132" s="7"/>
    </row>
    <row r="133" spans="1:48" s="9" customFormat="1" ht="30">
      <c r="A133" s="101" t="s">
        <v>363</v>
      </c>
      <c r="B133" s="103" t="s">
        <v>204</v>
      </c>
      <c r="C133" s="77"/>
      <c r="D133" s="77"/>
      <c r="E133" s="77"/>
      <c r="F133" s="77"/>
      <c r="G133" s="77"/>
      <c r="H133" s="102"/>
      <c r="I133" s="104">
        <f>I134+I139</f>
        <v>340500</v>
      </c>
      <c r="J133" s="104">
        <f t="shared" ref="J133:AN133" si="64">J134+J139</f>
        <v>330500</v>
      </c>
      <c r="K133" s="104">
        <f t="shared" si="64"/>
        <v>0</v>
      </c>
      <c r="L133" s="104">
        <f t="shared" si="64"/>
        <v>0</v>
      </c>
      <c r="M133" s="104">
        <f t="shared" si="64"/>
        <v>330500</v>
      </c>
      <c r="N133" s="104">
        <f t="shared" si="64"/>
        <v>0</v>
      </c>
      <c r="O133" s="104">
        <f t="shared" si="64"/>
        <v>0</v>
      </c>
      <c r="P133" s="104">
        <f t="shared" si="64"/>
        <v>40000</v>
      </c>
      <c r="Q133" s="104">
        <f t="shared" si="64"/>
        <v>0</v>
      </c>
      <c r="R133" s="104">
        <f t="shared" si="64"/>
        <v>40000</v>
      </c>
      <c r="S133" s="104">
        <f t="shared" si="64"/>
        <v>40000</v>
      </c>
      <c r="T133" s="104">
        <f t="shared" si="64"/>
        <v>0</v>
      </c>
      <c r="U133" s="104">
        <f t="shared" si="64"/>
        <v>35000</v>
      </c>
      <c r="V133" s="104">
        <f t="shared" si="64"/>
        <v>0</v>
      </c>
      <c r="W133" s="104">
        <f t="shared" si="64"/>
        <v>35000</v>
      </c>
      <c r="X133" s="104">
        <f t="shared" si="64"/>
        <v>35000</v>
      </c>
      <c r="Y133" s="104">
        <f t="shared" si="64"/>
        <v>0</v>
      </c>
      <c r="Z133" s="104">
        <f t="shared" si="64"/>
        <v>205500</v>
      </c>
      <c r="AA133" s="104">
        <f t="shared" si="64"/>
        <v>23753.603926999989</v>
      </c>
      <c r="AB133" s="104">
        <f t="shared" si="64"/>
        <v>205500</v>
      </c>
      <c r="AC133" s="104">
        <f t="shared" si="64"/>
        <v>181746.39607300001</v>
      </c>
      <c r="AD133" s="104">
        <f t="shared" si="64"/>
        <v>23753.603926999989</v>
      </c>
      <c r="AE133" s="104">
        <f t="shared" si="64"/>
        <v>0</v>
      </c>
      <c r="AF133" s="104">
        <f t="shared" si="64"/>
        <v>0</v>
      </c>
      <c r="AG133" s="104">
        <f t="shared" si="64"/>
        <v>0</v>
      </c>
      <c r="AH133" s="104">
        <f t="shared" si="64"/>
        <v>0</v>
      </c>
      <c r="AI133" s="104">
        <f t="shared" si="64"/>
        <v>0</v>
      </c>
      <c r="AJ133" s="104">
        <f t="shared" si="64"/>
        <v>50000</v>
      </c>
      <c r="AK133" s="104">
        <f t="shared" si="64"/>
        <v>0</v>
      </c>
      <c r="AL133" s="104">
        <f t="shared" si="64"/>
        <v>0</v>
      </c>
      <c r="AM133" s="104">
        <f t="shared" si="64"/>
        <v>0</v>
      </c>
      <c r="AN133" s="104">
        <f t="shared" si="64"/>
        <v>0</v>
      </c>
      <c r="AO133" s="139">
        <f t="shared" si="41"/>
        <v>280500</v>
      </c>
      <c r="AP133" s="141">
        <f t="shared" si="42"/>
        <v>50000</v>
      </c>
      <c r="AQ133" s="90"/>
      <c r="AS133" s="7"/>
      <c r="AT133" s="7"/>
      <c r="AU133" s="7"/>
      <c r="AV133" s="7"/>
    </row>
    <row r="134" spans="1:48" s="9" customFormat="1" ht="30">
      <c r="A134" s="81" t="s">
        <v>120</v>
      </c>
      <c r="B134" s="82" t="s">
        <v>36</v>
      </c>
      <c r="C134" s="77"/>
      <c r="D134" s="77"/>
      <c r="E134" s="77"/>
      <c r="F134" s="77"/>
      <c r="G134" s="77"/>
      <c r="H134" s="102"/>
      <c r="I134" s="104">
        <f>SUM(I136:I138)</f>
        <v>340500</v>
      </c>
      <c r="J134" s="104">
        <f t="shared" ref="J134:AN134" si="65">SUM(J136:J138)</f>
        <v>330500</v>
      </c>
      <c r="K134" s="104">
        <f t="shared" si="65"/>
        <v>0</v>
      </c>
      <c r="L134" s="104">
        <f t="shared" si="65"/>
        <v>0</v>
      </c>
      <c r="M134" s="104">
        <f t="shared" si="65"/>
        <v>330500</v>
      </c>
      <c r="N134" s="104">
        <f t="shared" si="65"/>
        <v>0</v>
      </c>
      <c r="O134" s="104">
        <f t="shared" si="65"/>
        <v>0</v>
      </c>
      <c r="P134" s="104">
        <f t="shared" si="65"/>
        <v>40000</v>
      </c>
      <c r="Q134" s="104">
        <f t="shared" si="65"/>
        <v>0</v>
      </c>
      <c r="R134" s="104">
        <f t="shared" si="65"/>
        <v>40000</v>
      </c>
      <c r="S134" s="104">
        <f t="shared" si="65"/>
        <v>40000</v>
      </c>
      <c r="T134" s="104">
        <f t="shared" si="65"/>
        <v>0</v>
      </c>
      <c r="U134" s="104">
        <f t="shared" si="65"/>
        <v>35000</v>
      </c>
      <c r="V134" s="104">
        <f t="shared" si="65"/>
        <v>0</v>
      </c>
      <c r="W134" s="104">
        <f t="shared" si="65"/>
        <v>35000</v>
      </c>
      <c r="X134" s="104">
        <f t="shared" si="65"/>
        <v>35000</v>
      </c>
      <c r="Y134" s="104">
        <f t="shared" si="65"/>
        <v>0</v>
      </c>
      <c r="Z134" s="104">
        <f t="shared" si="65"/>
        <v>205500</v>
      </c>
      <c r="AA134" s="104">
        <f t="shared" si="65"/>
        <v>23753.603926999989</v>
      </c>
      <c r="AB134" s="104">
        <f t="shared" si="65"/>
        <v>205500</v>
      </c>
      <c r="AC134" s="104">
        <f t="shared" si="65"/>
        <v>181746.39607300001</v>
      </c>
      <c r="AD134" s="104">
        <f t="shared" si="65"/>
        <v>23753.603926999989</v>
      </c>
      <c r="AE134" s="104">
        <f t="shared" si="65"/>
        <v>0</v>
      </c>
      <c r="AF134" s="104">
        <f t="shared" si="65"/>
        <v>0</v>
      </c>
      <c r="AG134" s="104">
        <f t="shared" si="65"/>
        <v>0</v>
      </c>
      <c r="AH134" s="104">
        <f t="shared" si="65"/>
        <v>0</v>
      </c>
      <c r="AI134" s="104">
        <f t="shared" si="65"/>
        <v>0</v>
      </c>
      <c r="AJ134" s="104">
        <f t="shared" si="65"/>
        <v>50000</v>
      </c>
      <c r="AK134" s="104">
        <f t="shared" si="65"/>
        <v>0</v>
      </c>
      <c r="AL134" s="104">
        <f t="shared" si="65"/>
        <v>0</v>
      </c>
      <c r="AM134" s="104">
        <f t="shared" si="65"/>
        <v>0</v>
      </c>
      <c r="AN134" s="104">
        <f t="shared" si="65"/>
        <v>0</v>
      </c>
      <c r="AO134" s="139">
        <f t="shared" si="41"/>
        <v>280500</v>
      </c>
      <c r="AP134" s="141">
        <f t="shared" si="42"/>
        <v>50000</v>
      </c>
      <c r="AQ134" s="90"/>
      <c r="AS134" s="7"/>
      <c r="AT134" s="7"/>
      <c r="AU134" s="7"/>
      <c r="AV134" s="7"/>
    </row>
    <row r="135" spans="1:48" s="9" customFormat="1" ht="30">
      <c r="A135" s="85" t="s">
        <v>96</v>
      </c>
      <c r="B135" s="86" t="s">
        <v>123</v>
      </c>
      <c r="C135" s="77"/>
      <c r="D135" s="77"/>
      <c r="E135" s="77"/>
      <c r="F135" s="77"/>
      <c r="G135" s="77"/>
      <c r="H135" s="107"/>
      <c r="I135" s="108">
        <f>SUM(I136:I138)</f>
        <v>340500</v>
      </c>
      <c r="J135" s="108">
        <f t="shared" ref="J135:AN135" si="66">SUM(J136:J138)</f>
        <v>330500</v>
      </c>
      <c r="K135" s="108">
        <f t="shared" si="66"/>
        <v>0</v>
      </c>
      <c r="L135" s="108">
        <f t="shared" si="66"/>
        <v>0</v>
      </c>
      <c r="M135" s="108">
        <f t="shared" si="66"/>
        <v>330500</v>
      </c>
      <c r="N135" s="108">
        <f t="shared" si="66"/>
        <v>0</v>
      </c>
      <c r="O135" s="108">
        <f t="shared" si="66"/>
        <v>0</v>
      </c>
      <c r="P135" s="108">
        <f t="shared" si="66"/>
        <v>40000</v>
      </c>
      <c r="Q135" s="108">
        <f t="shared" si="66"/>
        <v>0</v>
      </c>
      <c r="R135" s="108">
        <f t="shared" si="66"/>
        <v>40000</v>
      </c>
      <c r="S135" s="108">
        <f t="shared" si="66"/>
        <v>40000</v>
      </c>
      <c r="T135" s="108">
        <f t="shared" si="66"/>
        <v>0</v>
      </c>
      <c r="U135" s="108">
        <f t="shared" si="66"/>
        <v>35000</v>
      </c>
      <c r="V135" s="108">
        <f t="shared" si="66"/>
        <v>0</v>
      </c>
      <c r="W135" s="108">
        <f t="shared" si="66"/>
        <v>35000</v>
      </c>
      <c r="X135" s="108">
        <f t="shared" si="66"/>
        <v>35000</v>
      </c>
      <c r="Y135" s="108">
        <f t="shared" si="66"/>
        <v>0</v>
      </c>
      <c r="Z135" s="108">
        <f t="shared" si="66"/>
        <v>205500</v>
      </c>
      <c r="AA135" s="108">
        <f t="shared" si="66"/>
        <v>23753.603926999989</v>
      </c>
      <c r="AB135" s="108">
        <f t="shared" si="66"/>
        <v>205500</v>
      </c>
      <c r="AC135" s="108">
        <f t="shared" si="66"/>
        <v>181746.39607300001</v>
      </c>
      <c r="AD135" s="108">
        <f t="shared" si="66"/>
        <v>23753.603926999989</v>
      </c>
      <c r="AE135" s="108">
        <f t="shared" si="66"/>
        <v>0</v>
      </c>
      <c r="AF135" s="108">
        <f t="shared" si="66"/>
        <v>0</v>
      </c>
      <c r="AG135" s="108">
        <f t="shared" si="66"/>
        <v>0</v>
      </c>
      <c r="AH135" s="108">
        <f t="shared" si="66"/>
        <v>0</v>
      </c>
      <c r="AI135" s="108">
        <f t="shared" si="66"/>
        <v>0</v>
      </c>
      <c r="AJ135" s="108">
        <f t="shared" si="66"/>
        <v>50000</v>
      </c>
      <c r="AK135" s="108">
        <f t="shared" si="66"/>
        <v>0</v>
      </c>
      <c r="AL135" s="108">
        <f t="shared" si="66"/>
        <v>0</v>
      </c>
      <c r="AM135" s="108">
        <f t="shared" si="66"/>
        <v>0</v>
      </c>
      <c r="AN135" s="108">
        <f t="shared" si="66"/>
        <v>0</v>
      </c>
      <c r="AO135" s="139">
        <f t="shared" si="41"/>
        <v>280500</v>
      </c>
      <c r="AP135" s="141">
        <f t="shared" si="42"/>
        <v>50000</v>
      </c>
      <c r="AQ135" s="90"/>
      <c r="AS135" s="7"/>
      <c r="AT135" s="7"/>
      <c r="AU135" s="7"/>
      <c r="AV135" s="7"/>
    </row>
    <row r="136" spans="1:48" s="9" customFormat="1" ht="54" customHeight="1">
      <c r="A136" s="115">
        <v>1</v>
      </c>
      <c r="B136" s="88" t="s">
        <v>205</v>
      </c>
      <c r="C136" s="77" t="s">
        <v>38</v>
      </c>
      <c r="D136" s="77" t="s">
        <v>230</v>
      </c>
      <c r="E136" s="77">
        <v>2021</v>
      </c>
      <c r="F136" s="77">
        <v>2024</v>
      </c>
      <c r="G136" s="77" t="s">
        <v>289</v>
      </c>
      <c r="H136" s="91" t="s">
        <v>342</v>
      </c>
      <c r="I136" s="105">
        <v>76500</v>
      </c>
      <c r="J136" s="105">
        <v>76500</v>
      </c>
      <c r="K136" s="105"/>
      <c r="L136" s="105"/>
      <c r="M136" s="105">
        <v>76500</v>
      </c>
      <c r="N136" s="105"/>
      <c r="O136" s="106"/>
      <c r="P136" s="15">
        <v>20000</v>
      </c>
      <c r="Q136" s="15"/>
      <c r="R136" s="15">
        <f t="shared" si="43"/>
        <v>20000</v>
      </c>
      <c r="S136" s="15">
        <v>20000</v>
      </c>
      <c r="T136" s="15"/>
      <c r="U136" s="15">
        <v>10000</v>
      </c>
      <c r="V136" s="15"/>
      <c r="W136" s="15">
        <f t="shared" si="44"/>
        <v>10000</v>
      </c>
      <c r="X136" s="15">
        <v>10000</v>
      </c>
      <c r="Y136" s="15"/>
      <c r="Z136" s="15">
        <v>46500</v>
      </c>
      <c r="AA136" s="15">
        <f>Z136-AC136</f>
        <v>1070.8418749999983</v>
      </c>
      <c r="AB136" s="22">
        <f>AC136+AD136</f>
        <v>46500</v>
      </c>
      <c r="AC136" s="15">
        <v>45429.158125000002</v>
      </c>
      <c r="AD136" s="22">
        <v>1070.8418749999983</v>
      </c>
      <c r="AE136" s="15"/>
      <c r="AF136" s="90"/>
      <c r="AG136" s="90"/>
      <c r="AH136" s="90"/>
      <c r="AI136" s="90"/>
      <c r="AJ136" s="90"/>
      <c r="AK136" s="90"/>
      <c r="AL136" s="90"/>
      <c r="AM136" s="90"/>
      <c r="AN136" s="90"/>
      <c r="AO136" s="139">
        <f t="shared" si="41"/>
        <v>76500</v>
      </c>
      <c r="AP136" s="141">
        <f t="shared" si="42"/>
        <v>0</v>
      </c>
      <c r="AQ136" s="90"/>
      <c r="AS136" s="7"/>
      <c r="AT136" s="7">
        <v>1</v>
      </c>
      <c r="AU136" s="7"/>
      <c r="AV136" s="7"/>
    </row>
    <row r="137" spans="1:48" s="9" customFormat="1" ht="58.5" customHeight="1">
      <c r="A137" s="115">
        <v>2</v>
      </c>
      <c r="B137" s="88" t="s">
        <v>206</v>
      </c>
      <c r="C137" s="77" t="s">
        <v>38</v>
      </c>
      <c r="D137" s="77" t="s">
        <v>229</v>
      </c>
      <c r="E137" s="77">
        <v>2023</v>
      </c>
      <c r="F137" s="77">
        <v>2025</v>
      </c>
      <c r="G137" s="77"/>
      <c r="H137" s="91" t="s">
        <v>978</v>
      </c>
      <c r="I137" s="105">
        <v>150000</v>
      </c>
      <c r="J137" s="105">
        <v>140000</v>
      </c>
      <c r="K137" s="105"/>
      <c r="L137" s="105"/>
      <c r="M137" s="113">
        <v>140000</v>
      </c>
      <c r="N137" s="105"/>
      <c r="O137" s="106"/>
      <c r="P137" s="15"/>
      <c r="Q137" s="15"/>
      <c r="R137" s="15">
        <f t="shared" si="43"/>
        <v>0</v>
      </c>
      <c r="S137" s="15"/>
      <c r="T137" s="15"/>
      <c r="U137" s="15"/>
      <c r="V137" s="15"/>
      <c r="W137" s="15">
        <f t="shared" si="44"/>
        <v>0</v>
      </c>
      <c r="X137" s="15"/>
      <c r="Y137" s="15"/>
      <c r="Z137" s="15">
        <v>90000</v>
      </c>
      <c r="AA137" s="15">
        <f>Z137-AC137</f>
        <v>18762.959051999991</v>
      </c>
      <c r="AB137" s="22">
        <f>AC137+AD137</f>
        <v>90000</v>
      </c>
      <c r="AC137" s="15">
        <f>56873.040948+14364</f>
        <v>71237.040948000009</v>
      </c>
      <c r="AD137" s="22">
        <v>18762.959051999991</v>
      </c>
      <c r="AE137" s="15"/>
      <c r="AF137" s="90"/>
      <c r="AG137" s="90"/>
      <c r="AH137" s="90"/>
      <c r="AI137" s="90"/>
      <c r="AJ137" s="22">
        <v>50000</v>
      </c>
      <c r="AK137" s="22"/>
      <c r="AL137" s="22"/>
      <c r="AM137" s="22"/>
      <c r="AN137" s="22"/>
      <c r="AO137" s="139">
        <f t="shared" si="41"/>
        <v>90000</v>
      </c>
      <c r="AP137" s="141">
        <f t="shared" si="42"/>
        <v>50000</v>
      </c>
      <c r="AQ137" s="23" t="s">
        <v>351</v>
      </c>
      <c r="AS137" s="7"/>
      <c r="AT137" s="7">
        <v>1</v>
      </c>
      <c r="AU137" s="7"/>
      <c r="AV137" s="7"/>
    </row>
    <row r="138" spans="1:48" s="9" customFormat="1" ht="52.5">
      <c r="A138" s="115">
        <v>3</v>
      </c>
      <c r="B138" s="88" t="s">
        <v>207</v>
      </c>
      <c r="C138" s="77" t="s">
        <v>38</v>
      </c>
      <c r="D138" s="77" t="s">
        <v>230</v>
      </c>
      <c r="E138" s="77">
        <v>2021</v>
      </c>
      <c r="F138" s="77">
        <v>2024</v>
      </c>
      <c r="G138" s="77" t="s">
        <v>290</v>
      </c>
      <c r="H138" s="91" t="s">
        <v>343</v>
      </c>
      <c r="I138" s="105">
        <v>114000</v>
      </c>
      <c r="J138" s="105">
        <v>114000</v>
      </c>
      <c r="K138" s="105"/>
      <c r="L138" s="105"/>
      <c r="M138" s="105">
        <v>114000</v>
      </c>
      <c r="N138" s="105"/>
      <c r="O138" s="106"/>
      <c r="P138" s="15">
        <v>20000</v>
      </c>
      <c r="Q138" s="15"/>
      <c r="R138" s="15">
        <f t="shared" si="43"/>
        <v>20000</v>
      </c>
      <c r="S138" s="15">
        <v>20000</v>
      </c>
      <c r="T138" s="15"/>
      <c r="U138" s="15">
        <v>25000</v>
      </c>
      <c r="V138" s="15"/>
      <c r="W138" s="15">
        <f t="shared" si="44"/>
        <v>25000</v>
      </c>
      <c r="X138" s="15">
        <v>25000</v>
      </c>
      <c r="Y138" s="15"/>
      <c r="Z138" s="15">
        <v>69000</v>
      </c>
      <c r="AA138" s="15">
        <f>Z138-AC138</f>
        <v>3919.8029999999999</v>
      </c>
      <c r="AB138" s="22">
        <f>AC138+AD138</f>
        <v>69000</v>
      </c>
      <c r="AC138" s="15">
        <v>65080.197</v>
      </c>
      <c r="AD138" s="22">
        <v>3919.8029999999999</v>
      </c>
      <c r="AE138" s="15"/>
      <c r="AF138" s="90"/>
      <c r="AG138" s="90"/>
      <c r="AH138" s="90"/>
      <c r="AI138" s="90"/>
      <c r="AJ138" s="90"/>
      <c r="AK138" s="90"/>
      <c r="AL138" s="90"/>
      <c r="AM138" s="90"/>
      <c r="AN138" s="90"/>
      <c r="AO138" s="139">
        <f t="shared" si="41"/>
        <v>114000</v>
      </c>
      <c r="AP138" s="141">
        <f t="shared" si="42"/>
        <v>0</v>
      </c>
      <c r="AQ138" s="90"/>
      <c r="AS138" s="7"/>
      <c r="AT138" s="7">
        <v>1</v>
      </c>
      <c r="AU138" s="7"/>
      <c r="AV138" s="7"/>
    </row>
    <row r="139" spans="1:48" s="6" customFormat="1" ht="30">
      <c r="A139" s="81" t="s">
        <v>122</v>
      </c>
      <c r="B139" s="82" t="s">
        <v>99</v>
      </c>
      <c r="C139" s="84"/>
      <c r="D139" s="84"/>
      <c r="E139" s="84"/>
      <c r="F139" s="84"/>
      <c r="G139" s="84"/>
      <c r="H139" s="102"/>
      <c r="I139" s="104">
        <f t="shared" ref="I139:AN139" si="67">SUM(I140:I140)</f>
        <v>0</v>
      </c>
      <c r="J139" s="104">
        <f t="shared" si="67"/>
        <v>0</v>
      </c>
      <c r="K139" s="104">
        <f t="shared" si="67"/>
        <v>0</v>
      </c>
      <c r="L139" s="104">
        <f t="shared" si="67"/>
        <v>0</v>
      </c>
      <c r="M139" s="104">
        <f t="shared" si="67"/>
        <v>0</v>
      </c>
      <c r="N139" s="104">
        <f t="shared" si="67"/>
        <v>0</v>
      </c>
      <c r="O139" s="104">
        <f t="shared" si="67"/>
        <v>0</v>
      </c>
      <c r="P139" s="104">
        <f t="shared" si="67"/>
        <v>0</v>
      </c>
      <c r="Q139" s="104">
        <f t="shared" si="67"/>
        <v>0</v>
      </c>
      <c r="R139" s="104">
        <f t="shared" si="67"/>
        <v>0</v>
      </c>
      <c r="S139" s="104">
        <f t="shared" si="67"/>
        <v>0</v>
      </c>
      <c r="T139" s="104">
        <f t="shared" si="67"/>
        <v>0</v>
      </c>
      <c r="U139" s="104">
        <f t="shared" si="67"/>
        <v>0</v>
      </c>
      <c r="V139" s="104">
        <f t="shared" si="67"/>
        <v>0</v>
      </c>
      <c r="W139" s="104">
        <f t="shared" si="67"/>
        <v>0</v>
      </c>
      <c r="X139" s="104">
        <f t="shared" si="67"/>
        <v>0</v>
      </c>
      <c r="Y139" s="104">
        <f t="shared" si="67"/>
        <v>0</v>
      </c>
      <c r="Z139" s="104">
        <f t="shared" si="67"/>
        <v>0</v>
      </c>
      <c r="AA139" s="104">
        <f t="shared" si="67"/>
        <v>0</v>
      </c>
      <c r="AB139" s="104">
        <f t="shared" si="67"/>
        <v>0</v>
      </c>
      <c r="AC139" s="104">
        <f t="shared" si="67"/>
        <v>0</v>
      </c>
      <c r="AD139" s="104">
        <f t="shared" si="67"/>
        <v>0</v>
      </c>
      <c r="AE139" s="104">
        <f t="shared" si="67"/>
        <v>0</v>
      </c>
      <c r="AF139" s="104">
        <f t="shared" si="67"/>
        <v>0</v>
      </c>
      <c r="AG139" s="104">
        <f t="shared" si="67"/>
        <v>0</v>
      </c>
      <c r="AH139" s="104">
        <f t="shared" si="67"/>
        <v>0</v>
      </c>
      <c r="AI139" s="104">
        <f t="shared" si="67"/>
        <v>0</v>
      </c>
      <c r="AJ139" s="104">
        <f t="shared" si="67"/>
        <v>0</v>
      </c>
      <c r="AK139" s="104">
        <f t="shared" si="67"/>
        <v>0</v>
      </c>
      <c r="AL139" s="104">
        <f t="shared" si="67"/>
        <v>0</v>
      </c>
      <c r="AM139" s="104">
        <f t="shared" si="67"/>
        <v>0</v>
      </c>
      <c r="AN139" s="104">
        <f t="shared" si="67"/>
        <v>0</v>
      </c>
      <c r="AO139" s="139">
        <f t="shared" si="41"/>
        <v>0</v>
      </c>
      <c r="AP139" s="141">
        <f t="shared" si="42"/>
        <v>0</v>
      </c>
      <c r="AQ139" s="78"/>
      <c r="AS139" s="5"/>
      <c r="AT139" s="5"/>
      <c r="AU139" s="5"/>
      <c r="AV139" s="5"/>
    </row>
    <row r="140" spans="1:48" s="93" customFormat="1" ht="17.649999999999999">
      <c r="A140" s="116"/>
      <c r="B140" s="117"/>
      <c r="C140" s="21"/>
      <c r="D140" s="21"/>
      <c r="E140" s="21"/>
      <c r="F140" s="21"/>
      <c r="G140" s="21"/>
      <c r="H140" s="112"/>
      <c r="I140" s="113"/>
      <c r="J140" s="113"/>
      <c r="K140" s="113"/>
      <c r="L140" s="113"/>
      <c r="M140" s="113"/>
      <c r="N140" s="113"/>
      <c r="O140" s="114"/>
      <c r="P140" s="22"/>
      <c r="Q140" s="22"/>
      <c r="R140" s="22"/>
      <c r="S140" s="22"/>
      <c r="T140" s="22"/>
      <c r="U140" s="22"/>
      <c r="V140" s="22"/>
      <c r="W140" s="22"/>
      <c r="X140" s="22"/>
      <c r="Y140" s="22"/>
      <c r="Z140" s="22"/>
      <c r="AA140" s="22"/>
      <c r="AB140" s="22"/>
      <c r="AC140" s="22"/>
      <c r="AD140" s="22"/>
      <c r="AE140" s="22"/>
      <c r="AF140" s="92"/>
      <c r="AG140" s="92"/>
      <c r="AH140" s="92"/>
      <c r="AI140" s="92"/>
      <c r="AJ140" s="22"/>
      <c r="AK140" s="22"/>
      <c r="AL140" s="22"/>
      <c r="AM140" s="22"/>
      <c r="AN140" s="22"/>
      <c r="AO140" s="139">
        <f t="shared" si="41"/>
        <v>0</v>
      </c>
      <c r="AP140" s="141">
        <f t="shared" si="42"/>
        <v>0</v>
      </c>
      <c r="AQ140" s="23"/>
      <c r="AS140" s="24"/>
      <c r="AT140" s="24"/>
      <c r="AU140" s="24"/>
      <c r="AV140" s="24"/>
    </row>
    <row r="141" spans="1:48" s="9" customFormat="1" ht="17.649999999999999">
      <c r="A141" s="125" t="s">
        <v>208</v>
      </c>
      <c r="B141" s="126" t="s">
        <v>209</v>
      </c>
      <c r="C141" s="77"/>
      <c r="D141" s="77"/>
      <c r="E141" s="77"/>
      <c r="F141" s="77"/>
      <c r="G141" s="77"/>
      <c r="H141" s="127"/>
      <c r="I141" s="128"/>
      <c r="J141" s="128"/>
      <c r="K141" s="128"/>
      <c r="L141" s="128"/>
      <c r="M141" s="128"/>
      <c r="N141" s="128"/>
      <c r="O141" s="128"/>
      <c r="P141" s="17"/>
      <c r="Q141" s="17"/>
      <c r="R141" s="15">
        <f t="shared" si="43"/>
        <v>0</v>
      </c>
      <c r="S141" s="17"/>
      <c r="T141" s="17"/>
      <c r="U141" s="17"/>
      <c r="V141" s="17"/>
      <c r="W141" s="15">
        <f t="shared" si="44"/>
        <v>0</v>
      </c>
      <c r="X141" s="17"/>
      <c r="Y141" s="17"/>
      <c r="Z141" s="17"/>
      <c r="AA141" s="17"/>
      <c r="AB141" s="17"/>
      <c r="AC141" s="17"/>
      <c r="AD141" s="17"/>
      <c r="AE141" s="17"/>
      <c r="AF141" s="90"/>
      <c r="AG141" s="90"/>
      <c r="AH141" s="90"/>
      <c r="AI141" s="90"/>
      <c r="AJ141" s="90"/>
      <c r="AK141" s="90"/>
      <c r="AL141" s="90"/>
      <c r="AM141" s="90"/>
      <c r="AN141" s="90"/>
      <c r="AO141" s="139">
        <f t="shared" si="41"/>
        <v>0</v>
      </c>
      <c r="AP141" s="141">
        <f t="shared" si="42"/>
        <v>0</v>
      </c>
      <c r="AQ141" s="90"/>
      <c r="AS141" s="7"/>
      <c r="AT141" s="7"/>
      <c r="AU141" s="7"/>
      <c r="AV141" s="7"/>
    </row>
    <row r="142" spans="1:48" s="9" customFormat="1" ht="58.5" customHeight="1">
      <c r="A142" s="125" t="s">
        <v>210</v>
      </c>
      <c r="B142" s="126" t="s">
        <v>211</v>
      </c>
      <c r="C142" s="77"/>
      <c r="D142" s="77"/>
      <c r="E142" s="77"/>
      <c r="F142" s="77"/>
      <c r="G142" s="77"/>
      <c r="H142" s="129"/>
      <c r="I142" s="104">
        <f t="shared" ref="I142" si="68">SUM(I144:I146)</f>
        <v>8445739</v>
      </c>
      <c r="J142" s="104">
        <f t="shared" ref="J142:AN142" si="69">SUM(J144:J146)</f>
        <v>8445739</v>
      </c>
      <c r="K142" s="104">
        <f t="shared" si="69"/>
        <v>6861739</v>
      </c>
      <c r="L142" s="104">
        <f t="shared" si="69"/>
        <v>6861739</v>
      </c>
      <c r="M142" s="104">
        <f t="shared" si="69"/>
        <v>1449566</v>
      </c>
      <c r="N142" s="104">
        <f t="shared" si="69"/>
        <v>0</v>
      </c>
      <c r="O142" s="104">
        <f t="shared" si="69"/>
        <v>0</v>
      </c>
      <c r="P142" s="104">
        <f t="shared" si="69"/>
        <v>575000</v>
      </c>
      <c r="Q142" s="104">
        <f t="shared" si="69"/>
        <v>0</v>
      </c>
      <c r="R142" s="104">
        <f t="shared" si="69"/>
        <v>50644.878117</v>
      </c>
      <c r="S142" s="104">
        <f t="shared" si="69"/>
        <v>50644.878117</v>
      </c>
      <c r="T142" s="104">
        <f t="shared" si="69"/>
        <v>0</v>
      </c>
      <c r="U142" s="104">
        <f t="shared" si="69"/>
        <v>0</v>
      </c>
      <c r="V142" s="104">
        <f t="shared" si="69"/>
        <v>0</v>
      </c>
      <c r="W142" s="104">
        <f t="shared" si="69"/>
        <v>0</v>
      </c>
      <c r="X142" s="104">
        <f t="shared" si="69"/>
        <v>0</v>
      </c>
      <c r="Y142" s="104">
        <f t="shared" si="69"/>
        <v>0</v>
      </c>
      <c r="Z142" s="104">
        <f t="shared" si="69"/>
        <v>658453.97499999998</v>
      </c>
      <c r="AA142" s="104">
        <f t="shared" si="69"/>
        <v>3115</v>
      </c>
      <c r="AB142" s="104">
        <f t="shared" si="69"/>
        <v>633832.03731200006</v>
      </c>
      <c r="AC142" s="104">
        <f t="shared" si="69"/>
        <v>630717.03731200006</v>
      </c>
      <c r="AD142" s="104">
        <f t="shared" si="69"/>
        <v>3115</v>
      </c>
      <c r="AE142" s="104">
        <f t="shared" si="69"/>
        <v>425014.9</v>
      </c>
      <c r="AF142" s="104">
        <f t="shared" si="69"/>
        <v>0</v>
      </c>
      <c r="AG142" s="104">
        <f t="shared" si="69"/>
        <v>425014.9</v>
      </c>
      <c r="AH142" s="104">
        <f t="shared" si="69"/>
        <v>415593.445702</v>
      </c>
      <c r="AI142" s="104">
        <f t="shared" si="69"/>
        <v>0</v>
      </c>
      <c r="AJ142" s="104">
        <f t="shared" si="69"/>
        <v>315453.125</v>
      </c>
      <c r="AK142" s="104">
        <f t="shared" si="69"/>
        <v>0</v>
      </c>
      <c r="AL142" s="104">
        <f t="shared" si="69"/>
        <v>0</v>
      </c>
      <c r="AM142" s="104">
        <f t="shared" si="69"/>
        <v>0</v>
      </c>
      <c r="AN142" s="104">
        <f t="shared" si="69"/>
        <v>0</v>
      </c>
      <c r="AO142" s="139">
        <f t="shared" ref="AO142:AO155" si="70">P142+U142+Z142+AE142</f>
        <v>1658468.875</v>
      </c>
      <c r="AP142" s="141">
        <f t="shared" ref="AP142:AP155" si="71">M142-AO142</f>
        <v>-208902.875</v>
      </c>
      <c r="AQ142" s="90"/>
      <c r="AS142" s="7"/>
      <c r="AT142" s="7"/>
      <c r="AU142" s="7"/>
      <c r="AV142" s="7"/>
    </row>
    <row r="143" spans="1:48" s="9" customFormat="1" ht="30">
      <c r="A143" s="81" t="s">
        <v>120</v>
      </c>
      <c r="B143" s="82" t="s">
        <v>35</v>
      </c>
      <c r="C143" s="77"/>
      <c r="D143" s="77"/>
      <c r="E143" s="77"/>
      <c r="F143" s="77"/>
      <c r="G143" s="77"/>
      <c r="H143" s="129"/>
      <c r="I143" s="104">
        <f>SUM(I144:I146)</f>
        <v>8445739</v>
      </c>
      <c r="J143" s="104">
        <f t="shared" ref="J143:AN143" si="72">SUM(J144:J146)</f>
        <v>8445739</v>
      </c>
      <c r="K143" s="104">
        <f t="shared" si="72"/>
        <v>6861739</v>
      </c>
      <c r="L143" s="104">
        <f t="shared" si="72"/>
        <v>6861739</v>
      </c>
      <c r="M143" s="104">
        <f t="shared" si="72"/>
        <v>1449566</v>
      </c>
      <c r="N143" s="104">
        <f t="shared" si="72"/>
        <v>0</v>
      </c>
      <c r="O143" s="104">
        <f t="shared" si="72"/>
        <v>0</v>
      </c>
      <c r="P143" s="104">
        <f t="shared" si="72"/>
        <v>575000</v>
      </c>
      <c r="Q143" s="104">
        <f t="shared" si="72"/>
        <v>0</v>
      </c>
      <c r="R143" s="104">
        <f t="shared" si="72"/>
        <v>50644.878117</v>
      </c>
      <c r="S143" s="104">
        <f t="shared" si="72"/>
        <v>50644.878117</v>
      </c>
      <c r="T143" s="104">
        <f t="shared" si="72"/>
        <v>0</v>
      </c>
      <c r="U143" s="104">
        <f t="shared" si="72"/>
        <v>0</v>
      </c>
      <c r="V143" s="104">
        <f t="shared" si="72"/>
        <v>0</v>
      </c>
      <c r="W143" s="104">
        <f t="shared" si="72"/>
        <v>0</v>
      </c>
      <c r="X143" s="104">
        <f t="shared" si="72"/>
        <v>0</v>
      </c>
      <c r="Y143" s="104">
        <f t="shared" si="72"/>
        <v>0</v>
      </c>
      <c r="Z143" s="104">
        <f t="shared" si="72"/>
        <v>658453.97499999998</v>
      </c>
      <c r="AA143" s="104">
        <f t="shared" si="72"/>
        <v>3115</v>
      </c>
      <c r="AB143" s="104">
        <f t="shared" si="72"/>
        <v>633832.03731200006</v>
      </c>
      <c r="AC143" s="104">
        <f t="shared" si="72"/>
        <v>630717.03731200006</v>
      </c>
      <c r="AD143" s="104">
        <f t="shared" si="72"/>
        <v>3115</v>
      </c>
      <c r="AE143" s="104">
        <f t="shared" si="72"/>
        <v>425014.9</v>
      </c>
      <c r="AF143" s="104">
        <f t="shared" si="72"/>
        <v>0</v>
      </c>
      <c r="AG143" s="104">
        <f t="shared" si="72"/>
        <v>425014.9</v>
      </c>
      <c r="AH143" s="104">
        <f t="shared" si="72"/>
        <v>415593.445702</v>
      </c>
      <c r="AI143" s="104">
        <f t="shared" si="72"/>
        <v>0</v>
      </c>
      <c r="AJ143" s="104">
        <f t="shared" si="72"/>
        <v>315453.125</v>
      </c>
      <c r="AK143" s="104">
        <f t="shared" si="72"/>
        <v>0</v>
      </c>
      <c r="AL143" s="104">
        <f t="shared" si="72"/>
        <v>0</v>
      </c>
      <c r="AM143" s="104">
        <f t="shared" si="72"/>
        <v>0</v>
      </c>
      <c r="AN143" s="104">
        <f t="shared" si="72"/>
        <v>0</v>
      </c>
      <c r="AO143" s="139">
        <f t="shared" si="70"/>
        <v>1658468.875</v>
      </c>
      <c r="AP143" s="141">
        <f t="shared" si="71"/>
        <v>-208902.875</v>
      </c>
      <c r="AQ143" s="90"/>
      <c r="AS143" s="7"/>
      <c r="AT143" s="7"/>
      <c r="AU143" s="7"/>
      <c r="AV143" s="7"/>
    </row>
    <row r="144" spans="1:48" s="9" customFormat="1" ht="52.5">
      <c r="A144" s="115">
        <v>1</v>
      </c>
      <c r="B144" s="130" t="s">
        <v>212</v>
      </c>
      <c r="C144" s="77" t="s">
        <v>38</v>
      </c>
      <c r="D144" s="77"/>
      <c r="E144" s="77">
        <v>2013</v>
      </c>
      <c r="F144" s="77">
        <v>2023</v>
      </c>
      <c r="G144" s="77"/>
      <c r="H144" s="91" t="s">
        <v>344</v>
      </c>
      <c r="I144" s="105">
        <v>7071948</v>
      </c>
      <c r="J144" s="105">
        <v>7071948</v>
      </c>
      <c r="K144" s="105">
        <v>6845948</v>
      </c>
      <c r="L144" s="105">
        <v>6845948</v>
      </c>
      <c r="M144" s="105">
        <v>226000</v>
      </c>
      <c r="N144" s="105"/>
      <c r="O144" s="105"/>
      <c r="P144" s="15">
        <v>225000</v>
      </c>
      <c r="Q144" s="15"/>
      <c r="R144" s="15">
        <f t="shared" si="43"/>
        <v>49754.683117</v>
      </c>
      <c r="S144" s="15">
        <v>49754.683117</v>
      </c>
      <c r="T144" s="15"/>
      <c r="U144" s="15"/>
      <c r="V144" s="15"/>
      <c r="W144" s="15">
        <f t="shared" si="44"/>
        <v>0</v>
      </c>
      <c r="X144" s="15"/>
      <c r="Y144" s="15"/>
      <c r="Z144" s="15">
        <v>176246</v>
      </c>
      <c r="AA144" s="15">
        <v>3115</v>
      </c>
      <c r="AB144" s="15">
        <f>AC144+AD144</f>
        <v>175634.69138400001</v>
      </c>
      <c r="AC144" s="15">
        <v>172519.69138400001</v>
      </c>
      <c r="AD144" s="22">
        <v>3115</v>
      </c>
      <c r="AE144" s="15"/>
      <c r="AF144" s="90"/>
      <c r="AG144" s="90"/>
      <c r="AH144" s="90"/>
      <c r="AI144" s="90"/>
      <c r="AJ144" s="90"/>
      <c r="AK144" s="90"/>
      <c r="AL144" s="90"/>
      <c r="AM144" s="90"/>
      <c r="AN144" s="90"/>
      <c r="AO144" s="139">
        <f t="shared" si="70"/>
        <v>401246</v>
      </c>
      <c r="AP144" s="141">
        <f t="shared" si="71"/>
        <v>-175246</v>
      </c>
      <c r="AQ144" s="89"/>
      <c r="AS144" s="7">
        <v>1</v>
      </c>
      <c r="AT144" s="7"/>
      <c r="AU144" s="7"/>
      <c r="AV144" s="7"/>
    </row>
    <row r="145" spans="1:48" s="9" customFormat="1" ht="105">
      <c r="A145" s="95">
        <v>2</v>
      </c>
      <c r="B145" s="131" t="s">
        <v>213</v>
      </c>
      <c r="C145" s="77" t="s">
        <v>38</v>
      </c>
      <c r="D145" s="77"/>
      <c r="E145" s="77">
        <v>2012</v>
      </c>
      <c r="F145" s="77">
        <v>2025</v>
      </c>
      <c r="G145" s="77"/>
      <c r="H145" s="91" t="s">
        <v>1052</v>
      </c>
      <c r="I145" s="105">
        <v>447791</v>
      </c>
      <c r="J145" s="105">
        <v>447791</v>
      </c>
      <c r="K145" s="105">
        <v>15791</v>
      </c>
      <c r="L145" s="105">
        <v>15791</v>
      </c>
      <c r="M145" s="105">
        <v>432000</v>
      </c>
      <c r="N145" s="105"/>
      <c r="O145" s="105"/>
      <c r="P145" s="15">
        <v>150000</v>
      </c>
      <c r="Q145" s="15"/>
      <c r="R145" s="15">
        <f t="shared" ref="R145:R154" si="73">S145+T145</f>
        <v>890.19500000000005</v>
      </c>
      <c r="S145" s="15">
        <v>890.19500000000005</v>
      </c>
      <c r="T145" s="15"/>
      <c r="U145" s="15"/>
      <c r="V145" s="15"/>
      <c r="W145" s="15">
        <f t="shared" ref="W145:W154" si="74">X145+Y145</f>
        <v>0</v>
      </c>
      <c r="X145" s="15"/>
      <c r="Y145" s="15"/>
      <c r="Z145" s="15">
        <v>203068</v>
      </c>
      <c r="AA145" s="15"/>
      <c r="AB145" s="15">
        <f>AC145+AD145</f>
        <v>192500.43908400001</v>
      </c>
      <c r="AC145" s="15">
        <v>192500.43908400001</v>
      </c>
      <c r="AD145" s="15"/>
      <c r="AE145" s="15">
        <v>125960</v>
      </c>
      <c r="AF145" s="90"/>
      <c r="AG145" s="15">
        <v>125960</v>
      </c>
      <c r="AH145" s="22">
        <v>122596.634548</v>
      </c>
      <c r="AI145" s="15"/>
      <c r="AJ145" s="15">
        <v>102082</v>
      </c>
      <c r="AK145" s="15"/>
      <c r="AL145" s="145"/>
      <c r="AM145" s="15"/>
      <c r="AN145" s="15"/>
      <c r="AO145" s="139">
        <f t="shared" si="70"/>
        <v>479028</v>
      </c>
      <c r="AP145" s="141">
        <f t="shared" si="71"/>
        <v>-47028</v>
      </c>
      <c r="AQ145" s="98" t="s">
        <v>364</v>
      </c>
      <c r="AR145" s="118">
        <f>R145+Z145+AE145</f>
        <v>329918.19500000001</v>
      </c>
      <c r="AS145" s="7">
        <v>1</v>
      </c>
      <c r="AT145" s="7"/>
      <c r="AU145" s="7"/>
      <c r="AV145" s="7"/>
    </row>
    <row r="146" spans="1:48" s="9" customFormat="1" ht="46.15">
      <c r="A146" s="94" t="s">
        <v>214</v>
      </c>
      <c r="B146" s="96" t="s">
        <v>215</v>
      </c>
      <c r="C146" s="77" t="s">
        <v>38</v>
      </c>
      <c r="D146" s="77"/>
      <c r="E146" s="77">
        <v>2022</v>
      </c>
      <c r="F146" s="77">
        <v>2025</v>
      </c>
      <c r="G146" s="77"/>
      <c r="H146" s="91" t="s">
        <v>1053</v>
      </c>
      <c r="I146" s="105">
        <v>926000</v>
      </c>
      <c r="J146" s="105">
        <v>926000</v>
      </c>
      <c r="K146" s="105"/>
      <c r="L146" s="105"/>
      <c r="M146" s="105">
        <v>791566</v>
      </c>
      <c r="N146" s="105"/>
      <c r="O146" s="105"/>
      <c r="P146" s="15">
        <v>200000</v>
      </c>
      <c r="Q146" s="15"/>
      <c r="R146" s="15">
        <f t="shared" si="73"/>
        <v>0</v>
      </c>
      <c r="S146" s="15"/>
      <c r="T146" s="15"/>
      <c r="U146" s="15"/>
      <c r="V146" s="15"/>
      <c r="W146" s="15">
        <f t="shared" si="74"/>
        <v>0</v>
      </c>
      <c r="X146" s="15"/>
      <c r="Y146" s="15"/>
      <c r="Z146" s="15">
        <v>279139.97499999998</v>
      </c>
      <c r="AA146" s="15"/>
      <c r="AB146" s="15">
        <f>AC146+AD146</f>
        <v>265696.90684399998</v>
      </c>
      <c r="AC146" s="15">
        <v>265696.90684399998</v>
      </c>
      <c r="AD146" s="15"/>
      <c r="AE146" s="143">
        <v>299054.90000000002</v>
      </c>
      <c r="AF146" s="90"/>
      <c r="AG146" s="15">
        <v>299054.90000000002</v>
      </c>
      <c r="AH146" s="22">
        <v>292996.811154</v>
      </c>
      <c r="AI146" s="15"/>
      <c r="AJ146" s="15">
        <v>213371.125</v>
      </c>
      <c r="AK146" s="15"/>
      <c r="AL146" s="145"/>
      <c r="AM146" s="15"/>
      <c r="AN146" s="15"/>
      <c r="AO146" s="139">
        <f t="shared" si="70"/>
        <v>778194.875</v>
      </c>
      <c r="AP146" s="141">
        <f t="shared" si="71"/>
        <v>13371.125</v>
      </c>
      <c r="AQ146" s="98" t="s">
        <v>364</v>
      </c>
      <c r="AR146" s="118">
        <f>R146+Z146+AE146</f>
        <v>578194.875</v>
      </c>
      <c r="AS146" s="7">
        <v>1</v>
      </c>
      <c r="AT146" s="7"/>
      <c r="AU146" s="7"/>
      <c r="AV146" s="7"/>
    </row>
    <row r="147" spans="1:48" s="9" customFormat="1" ht="34.5">
      <c r="A147" s="101" t="s">
        <v>216</v>
      </c>
      <c r="B147" s="80" t="s">
        <v>217</v>
      </c>
      <c r="C147" s="77"/>
      <c r="D147" s="77"/>
      <c r="E147" s="77"/>
      <c r="F147" s="77"/>
      <c r="G147" s="77"/>
      <c r="H147" s="102"/>
      <c r="I147" s="104"/>
      <c r="J147" s="104"/>
      <c r="K147" s="104"/>
      <c r="L147" s="104"/>
      <c r="M147" s="104">
        <v>80000</v>
      </c>
      <c r="N147" s="104"/>
      <c r="O147" s="132"/>
      <c r="P147" s="18"/>
      <c r="Q147" s="18"/>
      <c r="R147" s="17">
        <f t="shared" si="73"/>
        <v>0</v>
      </c>
      <c r="S147" s="18"/>
      <c r="T147" s="18"/>
      <c r="U147" s="18"/>
      <c r="V147" s="18"/>
      <c r="W147" s="17">
        <f t="shared" si="74"/>
        <v>0</v>
      </c>
      <c r="X147" s="18"/>
      <c r="Y147" s="18"/>
      <c r="Z147" s="18"/>
      <c r="AA147" s="18"/>
      <c r="AB147" s="18"/>
      <c r="AC147" s="18"/>
      <c r="AD147" s="18"/>
      <c r="AE147" s="18"/>
      <c r="AF147" s="90"/>
      <c r="AG147" s="90"/>
      <c r="AH147" s="90"/>
      <c r="AI147" s="90"/>
      <c r="AJ147" s="90"/>
      <c r="AK147" s="90"/>
      <c r="AL147" s="90"/>
      <c r="AM147" s="90"/>
      <c r="AN147" s="90"/>
      <c r="AO147" s="139">
        <f t="shared" si="70"/>
        <v>0</v>
      </c>
      <c r="AP147" s="141">
        <f t="shared" si="71"/>
        <v>80000</v>
      </c>
      <c r="AQ147" s="90"/>
      <c r="AS147" s="7"/>
      <c r="AT147" s="7"/>
      <c r="AU147" s="7"/>
      <c r="AV147" s="7"/>
    </row>
    <row r="148" spans="1:48" s="9" customFormat="1" ht="17.649999999999999">
      <c r="A148" s="95"/>
      <c r="B148" s="96"/>
      <c r="C148" s="77"/>
      <c r="D148" s="77"/>
      <c r="E148" s="77"/>
      <c r="F148" s="77"/>
      <c r="G148" s="77"/>
      <c r="H148" s="91"/>
      <c r="I148" s="105"/>
      <c r="J148" s="105"/>
      <c r="K148" s="105"/>
      <c r="L148" s="105"/>
      <c r="M148" s="105"/>
      <c r="N148" s="105"/>
      <c r="O148" s="120"/>
      <c r="P148" s="16"/>
      <c r="Q148" s="16"/>
      <c r="R148" s="15">
        <f t="shared" si="73"/>
        <v>0</v>
      </c>
      <c r="S148" s="16"/>
      <c r="T148" s="16"/>
      <c r="U148" s="16"/>
      <c r="V148" s="16"/>
      <c r="W148" s="15">
        <f t="shared" si="74"/>
        <v>0</v>
      </c>
      <c r="X148" s="16"/>
      <c r="Y148" s="16"/>
      <c r="Z148" s="16"/>
      <c r="AA148" s="16"/>
      <c r="AB148" s="16"/>
      <c r="AC148" s="16"/>
      <c r="AD148" s="16"/>
      <c r="AE148" s="16"/>
      <c r="AF148" s="90"/>
      <c r="AG148" s="90"/>
      <c r="AH148" s="90"/>
      <c r="AI148" s="90"/>
      <c r="AJ148" s="90"/>
      <c r="AK148" s="90"/>
      <c r="AL148" s="90"/>
      <c r="AM148" s="90"/>
      <c r="AN148" s="90"/>
      <c r="AO148" s="139">
        <f t="shared" si="70"/>
        <v>0</v>
      </c>
      <c r="AP148" s="141">
        <f t="shared" si="71"/>
        <v>0</v>
      </c>
      <c r="AQ148" s="90"/>
      <c r="AS148" s="7"/>
      <c r="AT148" s="7"/>
      <c r="AU148" s="7"/>
      <c r="AV148" s="7"/>
    </row>
    <row r="149" spans="1:48" s="9" customFormat="1" ht="34.5">
      <c r="A149" s="133" t="s">
        <v>38</v>
      </c>
      <c r="B149" s="134" t="s">
        <v>218</v>
      </c>
      <c r="C149" s="77"/>
      <c r="D149" s="77"/>
      <c r="E149" s="77"/>
      <c r="F149" s="77"/>
      <c r="G149" s="77"/>
      <c r="H149" s="135"/>
      <c r="I149" s="104">
        <f>I150</f>
        <v>246000</v>
      </c>
      <c r="J149" s="104">
        <f t="shared" ref="J149:AN150" si="75">J150</f>
        <v>246000</v>
      </c>
      <c r="K149" s="104">
        <f t="shared" si="75"/>
        <v>0</v>
      </c>
      <c r="L149" s="104">
        <f t="shared" si="75"/>
        <v>0</v>
      </c>
      <c r="M149" s="104">
        <f t="shared" si="75"/>
        <v>246000</v>
      </c>
      <c r="N149" s="104">
        <f t="shared" si="75"/>
        <v>0</v>
      </c>
      <c r="O149" s="104">
        <f t="shared" si="75"/>
        <v>0</v>
      </c>
      <c r="P149" s="104">
        <f t="shared" si="75"/>
        <v>0</v>
      </c>
      <c r="Q149" s="104">
        <f t="shared" si="75"/>
        <v>0</v>
      </c>
      <c r="R149" s="104">
        <f t="shared" si="75"/>
        <v>0</v>
      </c>
      <c r="S149" s="104">
        <f t="shared" si="75"/>
        <v>0</v>
      </c>
      <c r="T149" s="104">
        <f t="shared" si="75"/>
        <v>0</v>
      </c>
      <c r="U149" s="104">
        <f t="shared" si="75"/>
        <v>0</v>
      </c>
      <c r="V149" s="104">
        <f t="shared" si="75"/>
        <v>0</v>
      </c>
      <c r="W149" s="104">
        <f t="shared" si="75"/>
        <v>0</v>
      </c>
      <c r="X149" s="104">
        <f t="shared" si="75"/>
        <v>0</v>
      </c>
      <c r="Y149" s="104">
        <f t="shared" si="75"/>
        <v>0</v>
      </c>
      <c r="Z149" s="104">
        <f t="shared" si="75"/>
        <v>231636</v>
      </c>
      <c r="AA149" s="104">
        <f t="shared" si="75"/>
        <v>161425.34232300002</v>
      </c>
      <c r="AB149" s="104">
        <f t="shared" si="75"/>
        <v>231636</v>
      </c>
      <c r="AC149" s="104">
        <f t="shared" si="75"/>
        <v>70210.657676999996</v>
      </c>
      <c r="AD149" s="104">
        <f t="shared" si="75"/>
        <v>161425.34232300002</v>
      </c>
      <c r="AE149" s="104">
        <f t="shared" si="75"/>
        <v>14364</v>
      </c>
      <c r="AF149" s="104">
        <f t="shared" si="75"/>
        <v>0</v>
      </c>
      <c r="AG149" s="104">
        <f t="shared" si="75"/>
        <v>14364</v>
      </c>
      <c r="AH149" s="104">
        <f t="shared" si="75"/>
        <v>14364</v>
      </c>
      <c r="AI149" s="104">
        <f t="shared" si="75"/>
        <v>0</v>
      </c>
      <c r="AJ149" s="104">
        <f t="shared" si="75"/>
        <v>0</v>
      </c>
      <c r="AK149" s="104"/>
      <c r="AL149" s="104">
        <f t="shared" si="75"/>
        <v>0</v>
      </c>
      <c r="AM149" s="104">
        <f t="shared" si="75"/>
        <v>0</v>
      </c>
      <c r="AN149" s="104">
        <f t="shared" si="75"/>
        <v>0</v>
      </c>
      <c r="AO149" s="139">
        <f t="shared" si="70"/>
        <v>246000</v>
      </c>
      <c r="AP149" s="141">
        <f t="shared" si="71"/>
        <v>0</v>
      </c>
      <c r="AQ149" s="90"/>
      <c r="AR149" s="76" t="s">
        <v>79</v>
      </c>
      <c r="AS149" s="5">
        <f>SUM(AS150:AS155)</f>
        <v>0</v>
      </c>
      <c r="AT149" s="5">
        <f t="shared" ref="AT149:AV149" si="76">SUM(AT150:AT155)</f>
        <v>4</v>
      </c>
      <c r="AU149" s="5">
        <f t="shared" si="76"/>
        <v>0</v>
      </c>
      <c r="AV149" s="5">
        <f t="shared" si="76"/>
        <v>0</v>
      </c>
    </row>
    <row r="150" spans="1:48" s="9" customFormat="1" ht="30">
      <c r="A150" s="81" t="s">
        <v>120</v>
      </c>
      <c r="B150" s="82" t="s">
        <v>36</v>
      </c>
      <c r="C150" s="77"/>
      <c r="D150" s="77"/>
      <c r="E150" s="77"/>
      <c r="F150" s="77"/>
      <c r="G150" s="77"/>
      <c r="H150" s="135"/>
      <c r="I150" s="104">
        <f>I151</f>
        <v>246000</v>
      </c>
      <c r="J150" s="104">
        <f t="shared" si="75"/>
        <v>246000</v>
      </c>
      <c r="K150" s="104">
        <f t="shared" si="75"/>
        <v>0</v>
      </c>
      <c r="L150" s="104">
        <f t="shared" si="75"/>
        <v>0</v>
      </c>
      <c r="M150" s="104">
        <f t="shared" si="75"/>
        <v>246000</v>
      </c>
      <c r="N150" s="104">
        <f t="shared" si="75"/>
        <v>0</v>
      </c>
      <c r="O150" s="104">
        <f t="shared" si="75"/>
        <v>0</v>
      </c>
      <c r="P150" s="104">
        <f t="shared" si="75"/>
        <v>0</v>
      </c>
      <c r="Q150" s="104">
        <f t="shared" si="75"/>
        <v>0</v>
      </c>
      <c r="R150" s="104">
        <f t="shared" si="75"/>
        <v>0</v>
      </c>
      <c r="S150" s="104">
        <f t="shared" si="75"/>
        <v>0</v>
      </c>
      <c r="T150" s="104">
        <f t="shared" si="75"/>
        <v>0</v>
      </c>
      <c r="U150" s="104">
        <f t="shared" si="75"/>
        <v>0</v>
      </c>
      <c r="V150" s="104">
        <f t="shared" si="75"/>
        <v>0</v>
      </c>
      <c r="W150" s="104">
        <f t="shared" si="75"/>
        <v>0</v>
      </c>
      <c r="X150" s="104">
        <f t="shared" si="75"/>
        <v>0</v>
      </c>
      <c r="Y150" s="104">
        <f t="shared" si="75"/>
        <v>0</v>
      </c>
      <c r="Z150" s="104">
        <f t="shared" si="75"/>
        <v>231636</v>
      </c>
      <c r="AA150" s="104">
        <f t="shared" si="75"/>
        <v>161425.34232300002</v>
      </c>
      <c r="AB150" s="104">
        <f t="shared" si="75"/>
        <v>231636</v>
      </c>
      <c r="AC150" s="104">
        <f t="shared" si="75"/>
        <v>70210.657676999996</v>
      </c>
      <c r="AD150" s="104">
        <f t="shared" si="75"/>
        <v>161425.34232300002</v>
      </c>
      <c r="AE150" s="104">
        <f t="shared" si="75"/>
        <v>14364</v>
      </c>
      <c r="AF150" s="104">
        <f t="shared" si="75"/>
        <v>0</v>
      </c>
      <c r="AG150" s="104">
        <f t="shared" si="75"/>
        <v>14364</v>
      </c>
      <c r="AH150" s="104">
        <f t="shared" si="75"/>
        <v>14364</v>
      </c>
      <c r="AI150" s="104">
        <f t="shared" si="75"/>
        <v>0</v>
      </c>
      <c r="AJ150" s="104">
        <f t="shared" si="75"/>
        <v>0</v>
      </c>
      <c r="AK150" s="104">
        <f t="shared" si="75"/>
        <v>0</v>
      </c>
      <c r="AL150" s="104">
        <f t="shared" si="75"/>
        <v>0</v>
      </c>
      <c r="AM150" s="104">
        <f t="shared" si="75"/>
        <v>0</v>
      </c>
      <c r="AN150" s="104">
        <f t="shared" si="75"/>
        <v>0</v>
      </c>
      <c r="AO150" s="139">
        <f t="shared" si="70"/>
        <v>246000</v>
      </c>
      <c r="AP150" s="141">
        <f t="shared" si="71"/>
        <v>0</v>
      </c>
      <c r="AQ150" s="90"/>
      <c r="AS150" s="7"/>
      <c r="AT150" s="7"/>
      <c r="AU150" s="7"/>
      <c r="AV150" s="7"/>
    </row>
    <row r="151" spans="1:48" s="9" customFormat="1" ht="30">
      <c r="A151" s="85" t="s">
        <v>96</v>
      </c>
      <c r="B151" s="86" t="s">
        <v>123</v>
      </c>
      <c r="C151" s="77"/>
      <c r="D151" s="77"/>
      <c r="E151" s="77"/>
      <c r="F151" s="77"/>
      <c r="G151" s="77"/>
      <c r="H151" s="135"/>
      <c r="I151" s="104">
        <f>SUM(I152:I155)</f>
        <v>246000</v>
      </c>
      <c r="J151" s="104">
        <f t="shared" ref="J151:AN151" si="77">SUM(J152:J155)</f>
        <v>246000</v>
      </c>
      <c r="K151" s="104">
        <f t="shared" si="77"/>
        <v>0</v>
      </c>
      <c r="L151" s="104">
        <f t="shared" si="77"/>
        <v>0</v>
      </c>
      <c r="M151" s="104">
        <f t="shared" si="77"/>
        <v>246000</v>
      </c>
      <c r="N151" s="104">
        <f t="shared" si="77"/>
        <v>0</v>
      </c>
      <c r="O151" s="104">
        <f t="shared" si="77"/>
        <v>0</v>
      </c>
      <c r="P151" s="104">
        <f t="shared" si="77"/>
        <v>0</v>
      </c>
      <c r="Q151" s="104">
        <f t="shared" si="77"/>
        <v>0</v>
      </c>
      <c r="R151" s="104">
        <f t="shared" si="77"/>
        <v>0</v>
      </c>
      <c r="S151" s="104">
        <f t="shared" si="77"/>
        <v>0</v>
      </c>
      <c r="T151" s="104">
        <f t="shared" si="77"/>
        <v>0</v>
      </c>
      <c r="U151" s="104">
        <f t="shared" si="77"/>
        <v>0</v>
      </c>
      <c r="V151" s="104">
        <f t="shared" si="77"/>
        <v>0</v>
      </c>
      <c r="W151" s="104">
        <f t="shared" si="77"/>
        <v>0</v>
      </c>
      <c r="X151" s="104">
        <f t="shared" si="77"/>
        <v>0</v>
      </c>
      <c r="Y151" s="104">
        <f t="shared" si="77"/>
        <v>0</v>
      </c>
      <c r="Z151" s="104">
        <f t="shared" si="77"/>
        <v>231636</v>
      </c>
      <c r="AA151" s="104">
        <f t="shared" si="77"/>
        <v>161425.34232300002</v>
      </c>
      <c r="AB151" s="104">
        <f t="shared" si="77"/>
        <v>231636</v>
      </c>
      <c r="AC151" s="104">
        <f t="shared" si="77"/>
        <v>70210.657676999996</v>
      </c>
      <c r="AD151" s="104">
        <f t="shared" si="77"/>
        <v>161425.34232300002</v>
      </c>
      <c r="AE151" s="104">
        <f t="shared" si="77"/>
        <v>14364</v>
      </c>
      <c r="AF151" s="104">
        <f t="shared" si="77"/>
        <v>0</v>
      </c>
      <c r="AG151" s="104">
        <f t="shared" si="77"/>
        <v>14364</v>
      </c>
      <c r="AH151" s="104">
        <f t="shared" si="77"/>
        <v>14364</v>
      </c>
      <c r="AI151" s="104">
        <f t="shared" si="77"/>
        <v>0</v>
      </c>
      <c r="AJ151" s="104">
        <f t="shared" si="77"/>
        <v>0</v>
      </c>
      <c r="AK151" s="104">
        <f t="shared" si="77"/>
        <v>0</v>
      </c>
      <c r="AL151" s="104">
        <f t="shared" si="77"/>
        <v>0</v>
      </c>
      <c r="AM151" s="104">
        <f t="shared" si="77"/>
        <v>0</v>
      </c>
      <c r="AN151" s="104">
        <f t="shared" si="77"/>
        <v>0</v>
      </c>
      <c r="AO151" s="139">
        <f t="shared" si="70"/>
        <v>246000</v>
      </c>
      <c r="AP151" s="141">
        <f t="shared" si="71"/>
        <v>0</v>
      </c>
      <c r="AQ151" s="90"/>
      <c r="AS151" s="7"/>
      <c r="AT151" s="7"/>
      <c r="AU151" s="7"/>
      <c r="AV151" s="7"/>
    </row>
    <row r="152" spans="1:48" s="9" customFormat="1" ht="30.75">
      <c r="A152" s="95">
        <v>1</v>
      </c>
      <c r="B152" s="96" t="s">
        <v>219</v>
      </c>
      <c r="C152" s="77" t="s">
        <v>38</v>
      </c>
      <c r="D152" s="77" t="s">
        <v>229</v>
      </c>
      <c r="E152" s="77">
        <v>2023</v>
      </c>
      <c r="F152" s="77">
        <v>2024</v>
      </c>
      <c r="G152" s="77"/>
      <c r="H152" s="91" t="s">
        <v>345</v>
      </c>
      <c r="I152" s="105">
        <v>95000</v>
      </c>
      <c r="J152" s="105">
        <v>95000</v>
      </c>
      <c r="K152" s="105"/>
      <c r="L152" s="105"/>
      <c r="M152" s="105">
        <v>95000</v>
      </c>
      <c r="N152" s="105"/>
      <c r="O152" s="120"/>
      <c r="P152" s="16"/>
      <c r="Q152" s="16"/>
      <c r="R152" s="15">
        <f t="shared" si="73"/>
        <v>0</v>
      </c>
      <c r="S152" s="16"/>
      <c r="T152" s="16"/>
      <c r="U152" s="16"/>
      <c r="V152" s="16"/>
      <c r="W152" s="15">
        <f t="shared" si="74"/>
        <v>0</v>
      </c>
      <c r="X152" s="16"/>
      <c r="Y152" s="16"/>
      <c r="Z152" s="16">
        <v>89636</v>
      </c>
      <c r="AA152" s="16">
        <f>Z152-AC152</f>
        <v>60038.805729</v>
      </c>
      <c r="AB152" s="15">
        <f>AC152+AD152</f>
        <v>89636</v>
      </c>
      <c r="AC152" s="16">
        <v>29597.194271</v>
      </c>
      <c r="AD152" s="25">
        <v>60038.805729</v>
      </c>
      <c r="AE152" s="16">
        <v>5364</v>
      </c>
      <c r="AF152" s="16"/>
      <c r="AG152" s="16">
        <v>5364</v>
      </c>
      <c r="AH152" s="16">
        <v>5364</v>
      </c>
      <c r="AI152" s="16"/>
      <c r="AJ152" s="16"/>
      <c r="AK152" s="16"/>
      <c r="AL152" s="16"/>
      <c r="AM152" s="16"/>
      <c r="AN152" s="16"/>
      <c r="AO152" s="139">
        <f t="shared" si="70"/>
        <v>95000</v>
      </c>
      <c r="AP152" s="141">
        <f t="shared" si="71"/>
        <v>0</v>
      </c>
      <c r="AQ152" s="89"/>
      <c r="AS152" s="7"/>
      <c r="AT152" s="7">
        <v>1</v>
      </c>
      <c r="AU152" s="7"/>
      <c r="AV152" s="7"/>
    </row>
    <row r="153" spans="1:48" s="9" customFormat="1" ht="81.75" customHeight="1">
      <c r="A153" s="95">
        <v>2</v>
      </c>
      <c r="B153" s="96" t="s">
        <v>220</v>
      </c>
      <c r="C153" s="77" t="s">
        <v>38</v>
      </c>
      <c r="D153" s="77"/>
      <c r="E153" s="77">
        <v>2023</v>
      </c>
      <c r="F153" s="77">
        <v>2024</v>
      </c>
      <c r="G153" s="77"/>
      <c r="H153" s="91" t="s">
        <v>346</v>
      </c>
      <c r="I153" s="105">
        <v>47000</v>
      </c>
      <c r="J153" s="105">
        <v>47000</v>
      </c>
      <c r="K153" s="105"/>
      <c r="L153" s="105"/>
      <c r="M153" s="105">
        <v>47000</v>
      </c>
      <c r="N153" s="105"/>
      <c r="O153" s="120"/>
      <c r="P153" s="16"/>
      <c r="Q153" s="16"/>
      <c r="R153" s="15">
        <f t="shared" si="73"/>
        <v>0</v>
      </c>
      <c r="S153" s="16"/>
      <c r="T153" s="16"/>
      <c r="U153" s="16"/>
      <c r="V153" s="16"/>
      <c r="W153" s="15">
        <f t="shared" si="74"/>
        <v>0</v>
      </c>
      <c r="X153" s="16"/>
      <c r="Y153" s="16"/>
      <c r="Z153" s="16">
        <v>42000</v>
      </c>
      <c r="AA153" s="16">
        <f>Z153-AC153</f>
        <v>26188.389509000001</v>
      </c>
      <c r="AB153" s="15">
        <f>AC153+AD153</f>
        <v>42000</v>
      </c>
      <c r="AC153" s="16">
        <v>15811.610490999999</v>
      </c>
      <c r="AD153" s="25">
        <v>26188.389509000001</v>
      </c>
      <c r="AE153" s="16">
        <v>5000</v>
      </c>
      <c r="AF153" s="16"/>
      <c r="AG153" s="16">
        <v>5000</v>
      </c>
      <c r="AH153" s="16">
        <v>5000</v>
      </c>
      <c r="AI153" s="16"/>
      <c r="AJ153" s="16"/>
      <c r="AK153" s="16"/>
      <c r="AL153" s="16"/>
      <c r="AM153" s="16"/>
      <c r="AN153" s="16"/>
      <c r="AO153" s="139">
        <f t="shared" si="70"/>
        <v>47000</v>
      </c>
      <c r="AP153" s="141">
        <f t="shared" si="71"/>
        <v>0</v>
      </c>
      <c r="AQ153" s="89"/>
      <c r="AS153" s="7"/>
      <c r="AT153" s="7">
        <v>1</v>
      </c>
      <c r="AU153" s="7"/>
      <c r="AV153" s="7"/>
    </row>
    <row r="154" spans="1:48" s="9" customFormat="1" ht="46.15">
      <c r="A154" s="95">
        <v>3</v>
      </c>
      <c r="B154" s="96" t="s">
        <v>221</v>
      </c>
      <c r="C154" s="77" t="s">
        <v>38</v>
      </c>
      <c r="D154" s="77"/>
      <c r="E154" s="77">
        <v>2023</v>
      </c>
      <c r="F154" s="77">
        <v>2024</v>
      </c>
      <c r="G154" s="77"/>
      <c r="H154" s="91" t="s">
        <v>347</v>
      </c>
      <c r="I154" s="105">
        <v>44000</v>
      </c>
      <c r="J154" s="105">
        <v>44000</v>
      </c>
      <c r="K154" s="105"/>
      <c r="L154" s="105"/>
      <c r="M154" s="105">
        <v>44000</v>
      </c>
      <c r="N154" s="105"/>
      <c r="O154" s="120"/>
      <c r="P154" s="16"/>
      <c r="Q154" s="16"/>
      <c r="R154" s="15">
        <f t="shared" si="73"/>
        <v>0</v>
      </c>
      <c r="S154" s="16"/>
      <c r="T154" s="16"/>
      <c r="U154" s="16"/>
      <c r="V154" s="16"/>
      <c r="W154" s="15">
        <f t="shared" si="74"/>
        <v>0</v>
      </c>
      <c r="X154" s="16"/>
      <c r="Y154" s="16"/>
      <c r="Z154" s="16">
        <v>40000</v>
      </c>
      <c r="AA154" s="16">
        <f>Z154-AC154</f>
        <v>15198.147085000001</v>
      </c>
      <c r="AB154" s="15">
        <f>AC154+AD154</f>
        <v>40000</v>
      </c>
      <c r="AC154" s="16">
        <v>24801.852914999999</v>
      </c>
      <c r="AD154" s="25">
        <v>15198.147085000001</v>
      </c>
      <c r="AE154" s="16">
        <v>4000</v>
      </c>
      <c r="AF154" s="16"/>
      <c r="AG154" s="16">
        <v>4000</v>
      </c>
      <c r="AH154" s="16">
        <v>4000</v>
      </c>
      <c r="AI154" s="16"/>
      <c r="AJ154" s="16"/>
      <c r="AK154" s="16"/>
      <c r="AL154" s="16"/>
      <c r="AM154" s="16"/>
      <c r="AN154" s="16"/>
      <c r="AO154" s="139">
        <f t="shared" si="70"/>
        <v>44000</v>
      </c>
      <c r="AP154" s="141">
        <f t="shared" si="71"/>
        <v>0</v>
      </c>
      <c r="AQ154" s="89"/>
      <c r="AS154" s="7"/>
      <c r="AT154" s="7">
        <v>1</v>
      </c>
      <c r="AU154" s="7"/>
      <c r="AV154" s="7"/>
    </row>
    <row r="155" spans="1:48" s="9" customFormat="1" ht="30.75">
      <c r="A155" s="2">
        <v>4</v>
      </c>
      <c r="B155" s="136" t="s">
        <v>222</v>
      </c>
      <c r="C155" s="77" t="s">
        <v>38</v>
      </c>
      <c r="D155" s="77"/>
      <c r="E155" s="77">
        <v>2024</v>
      </c>
      <c r="F155" s="77">
        <v>2025</v>
      </c>
      <c r="G155" s="77"/>
      <c r="H155" s="91" t="s">
        <v>348</v>
      </c>
      <c r="I155" s="105">
        <v>60000</v>
      </c>
      <c r="J155" s="105">
        <v>60000</v>
      </c>
      <c r="K155" s="105"/>
      <c r="L155" s="105"/>
      <c r="M155" s="105">
        <v>60000</v>
      </c>
      <c r="N155" s="105"/>
      <c r="O155" s="105"/>
      <c r="P155" s="15"/>
      <c r="Q155" s="15"/>
      <c r="R155" s="15"/>
      <c r="S155" s="15"/>
      <c r="T155" s="15"/>
      <c r="U155" s="15"/>
      <c r="V155" s="15"/>
      <c r="W155" s="15"/>
      <c r="X155" s="16"/>
      <c r="Y155" s="15"/>
      <c r="Z155" s="15">
        <v>60000</v>
      </c>
      <c r="AA155" s="16">
        <f>Z155-AC155</f>
        <v>60000</v>
      </c>
      <c r="AB155" s="15">
        <f>AC155+AD155</f>
        <v>60000</v>
      </c>
      <c r="AC155" s="15"/>
      <c r="AD155" s="22">
        <v>60000</v>
      </c>
      <c r="AE155" s="15"/>
      <c r="AF155" s="16"/>
      <c r="AG155" s="16"/>
      <c r="AH155" s="16"/>
      <c r="AI155" s="16"/>
      <c r="AJ155" s="16"/>
      <c r="AK155" s="16"/>
      <c r="AL155" s="16"/>
      <c r="AM155" s="16"/>
      <c r="AN155" s="16"/>
      <c r="AO155" s="139">
        <f t="shared" si="70"/>
        <v>60000</v>
      </c>
      <c r="AP155" s="141">
        <f t="shared" si="71"/>
        <v>0</v>
      </c>
      <c r="AQ155" s="89"/>
      <c r="AS155" s="7"/>
      <c r="AT155" s="7">
        <v>1</v>
      </c>
      <c r="AU155" s="7"/>
      <c r="AV155" s="7"/>
    </row>
    <row r="156" spans="1:48">
      <c r="AS156" s="7"/>
      <c r="AT156" s="7"/>
      <c r="AU156" s="7"/>
      <c r="AV156" s="7"/>
    </row>
    <row r="159" spans="1:48">
      <c r="AJ159" s="1" t="s">
        <v>1054</v>
      </c>
    </row>
  </sheetData>
  <autoFilter ref="A12:AV156"/>
  <mergeCells count="79">
    <mergeCell ref="AS5:AV5"/>
    <mergeCell ref="AS6:AS10"/>
    <mergeCell ref="AT6:AT10"/>
    <mergeCell ref="AU6:AU10"/>
    <mergeCell ref="AV6:AV10"/>
    <mergeCell ref="A1:AQ1"/>
    <mergeCell ref="A2:AQ2"/>
    <mergeCell ref="A3:AQ3"/>
    <mergeCell ref="A4:AQ4"/>
    <mergeCell ref="A5:A11"/>
    <mergeCell ref="B5:B11"/>
    <mergeCell ref="C5:C11"/>
    <mergeCell ref="D5:D11"/>
    <mergeCell ref="E5:F6"/>
    <mergeCell ref="G5:G11"/>
    <mergeCell ref="M5:O6"/>
    <mergeCell ref="P5:AN5"/>
    <mergeCell ref="AQ5:AQ11"/>
    <mergeCell ref="P6:T6"/>
    <mergeCell ref="U6:Y6"/>
    <mergeCell ref="Z6:AD6"/>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E7:E11"/>
    <mergeCell ref="F7:F11"/>
    <mergeCell ref="H7:H11"/>
    <mergeCell ref="I7:J7"/>
    <mergeCell ref="K7:K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AG7:AI7"/>
    <mergeCell ref="AJ7:AK7"/>
    <mergeCell ref="AF8:AF11"/>
    <mergeCell ref="AC9:AC11"/>
    <mergeCell ref="AD9:AD11"/>
    <mergeCell ref="AO5:AO11"/>
    <mergeCell ref="AP5:AP11"/>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s>
  <pageMargins left="0.70866141732283472" right="0.70866141732283472" top="0.74803149606299213" bottom="0.74803149606299213" header="0.31496062992125984" footer="0.31496062992125984"/>
  <pageSetup paperSize="9" scale="22" orientation="landscape" r:id="rId1"/>
  <ignoredErrors>
    <ignoredError sqref="I55 J55:AN55 J57 R57 I59 J59:AN59" formula="1"/>
  </ignoredErrors>
</worksheet>
</file>

<file path=xl/worksheets/sheet8.xml><?xml version="1.0" encoding="utf-8"?>
<worksheet xmlns="http://schemas.openxmlformats.org/spreadsheetml/2006/main" xmlns:r="http://schemas.openxmlformats.org/officeDocument/2006/relationships">
  <dimension ref="A1:AZ38"/>
  <sheetViews>
    <sheetView showZeros="0" view="pageBreakPreview" topLeftCell="A4" zoomScale="60" zoomScaleNormal="70" workbookViewId="0">
      <pane xSplit="2" ySplit="10" topLeftCell="Y32" activePane="bottomRight" state="frozen"/>
      <selection activeCell="A4" sqref="A4"/>
      <selection pane="topRight" activeCell="C4" sqref="C4"/>
      <selection pane="bottomLeft" activeCell="A14" sqref="A14"/>
      <selection pane="bottomRight" activeCell="AU37" sqref="AU37"/>
    </sheetView>
  </sheetViews>
  <sheetFormatPr defaultColWidth="9.1328125" defaultRowHeight="14.25"/>
  <cols>
    <col min="1" max="1" width="6.1328125" style="54" customWidth="1"/>
    <col min="2" max="2" width="25.265625" style="54" customWidth="1"/>
    <col min="3" max="3" width="9.1328125" style="54"/>
    <col min="4" max="4" width="12.73046875" style="54" customWidth="1"/>
    <col min="5" max="5" width="12.3984375" style="54" customWidth="1"/>
    <col min="6" max="6" width="14.1328125" style="54" customWidth="1"/>
    <col min="7" max="7" width="11.265625" style="54" bestFit="1" customWidth="1"/>
    <col min="8" max="10" width="9.73046875" style="54" bestFit="1" customWidth="1"/>
    <col min="11" max="11" width="9.265625" style="54" bestFit="1" customWidth="1"/>
    <col min="12" max="12" width="11.265625" style="54" bestFit="1" customWidth="1"/>
    <col min="13" max="13" width="11" style="54" customWidth="1"/>
    <col min="14" max="14" width="9.73046875" style="54" bestFit="1" customWidth="1"/>
    <col min="15" max="15" width="10.86328125" style="54" bestFit="1" customWidth="1"/>
    <col min="16" max="16" width="9.73046875" style="54" bestFit="1" customWidth="1"/>
    <col min="17" max="17" width="9.265625" style="54" bestFit="1" customWidth="1"/>
    <col min="18" max="18" width="10.86328125" style="54" bestFit="1" customWidth="1"/>
    <col min="19" max="19" width="10.59765625" style="54" customWidth="1"/>
    <col min="20" max="23" width="9.265625" style="54" bestFit="1" customWidth="1"/>
    <col min="24" max="24" width="12.86328125" style="54" customWidth="1"/>
    <col min="25" max="25" width="10.59765625" style="54" customWidth="1"/>
    <col min="26" max="28" width="9.265625" style="54" bestFit="1" customWidth="1"/>
    <col min="29" max="29" width="11.86328125" style="54" customWidth="1"/>
    <col min="30" max="30" width="10.3984375" style="54" customWidth="1"/>
    <col min="31" max="31" width="9.73046875" style="54" bestFit="1" customWidth="1"/>
    <col min="32" max="32" width="9.265625" style="54" bestFit="1" customWidth="1"/>
    <col min="33" max="33" width="9.73046875" style="54" bestFit="1" customWidth="1"/>
    <col min="34" max="39" width="11.86328125" style="54" customWidth="1"/>
    <col min="40" max="45" width="11.265625" style="54" customWidth="1"/>
    <col min="46" max="16384" width="9.1328125" style="54"/>
  </cols>
  <sheetData>
    <row r="1" spans="1:52" ht="15.4">
      <c r="A1" s="746" t="s">
        <v>64</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c r="AN1" s="746"/>
      <c r="AO1" s="746"/>
      <c r="AP1" s="746"/>
      <c r="AQ1" s="746"/>
      <c r="AR1" s="746"/>
      <c r="AS1" s="746"/>
      <c r="AT1" s="746"/>
    </row>
    <row r="2" spans="1:52" s="55" customFormat="1" ht="26.25" customHeight="1">
      <c r="A2" s="747" t="s">
        <v>101</v>
      </c>
      <c r="B2" s="747"/>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c r="AS2" s="747"/>
      <c r="AT2" s="747"/>
    </row>
    <row r="3" spans="1:52" ht="15.4">
      <c r="A3" s="749" t="str">
        <f>'B1 TH 21-25'!A3</f>
        <v>(Kèm theo Nghị quyết số                /NQ-HĐND ngày  28/4/2025 của Hội đồng nhân dân tỉnh)</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49"/>
      <c r="AB3" s="749"/>
      <c r="AC3" s="749"/>
      <c r="AD3" s="749"/>
      <c r="AE3" s="749"/>
      <c r="AF3" s="749"/>
      <c r="AG3" s="749"/>
      <c r="AH3" s="749"/>
      <c r="AI3" s="749"/>
      <c r="AJ3" s="749"/>
      <c r="AK3" s="749"/>
      <c r="AL3" s="749"/>
      <c r="AM3" s="749"/>
      <c r="AN3" s="749"/>
      <c r="AO3" s="749"/>
      <c r="AP3" s="749"/>
      <c r="AQ3" s="749"/>
      <c r="AR3" s="749"/>
      <c r="AS3" s="749"/>
      <c r="AT3" s="749"/>
    </row>
    <row r="4" spans="1:52" ht="15.4">
      <c r="A4" s="750" t="s">
        <v>30</v>
      </c>
      <c r="B4" s="750"/>
      <c r="C4" s="750"/>
      <c r="D4" s="750"/>
      <c r="E4" s="750"/>
      <c r="F4" s="750"/>
      <c r="G4" s="750"/>
      <c r="H4" s="750"/>
      <c r="I4" s="750"/>
      <c r="J4" s="750"/>
      <c r="K4" s="750"/>
      <c r="L4" s="750"/>
      <c r="M4" s="750"/>
      <c r="N4" s="750"/>
      <c r="O4" s="750"/>
      <c r="P4" s="750"/>
      <c r="Q4" s="750"/>
      <c r="R4" s="750"/>
      <c r="S4" s="750"/>
      <c r="T4" s="750"/>
      <c r="U4" s="750"/>
      <c r="V4" s="750"/>
      <c r="W4" s="750"/>
      <c r="X4" s="750"/>
      <c r="Y4" s="750"/>
      <c r="Z4" s="750"/>
      <c r="AA4" s="750"/>
      <c r="AB4" s="750"/>
      <c r="AC4" s="750"/>
      <c r="AD4" s="750"/>
      <c r="AE4" s="750"/>
      <c r="AF4" s="750"/>
      <c r="AG4" s="750"/>
      <c r="AH4" s="750"/>
      <c r="AI4" s="750"/>
      <c r="AJ4" s="750"/>
      <c r="AK4" s="750"/>
      <c r="AL4" s="750"/>
      <c r="AM4" s="750"/>
      <c r="AN4" s="750"/>
      <c r="AO4" s="750"/>
      <c r="AP4" s="750"/>
      <c r="AQ4" s="750"/>
      <c r="AR4" s="750"/>
      <c r="AS4" s="750"/>
      <c r="AT4" s="750"/>
    </row>
    <row r="5" spans="1:52" ht="15" customHeight="1">
      <c r="A5" s="767" t="s">
        <v>42</v>
      </c>
      <c r="B5" s="767" t="s">
        <v>1</v>
      </c>
      <c r="C5" s="767" t="s">
        <v>43</v>
      </c>
      <c r="D5" s="767" t="s">
        <v>44</v>
      </c>
      <c r="E5" s="767" t="s">
        <v>45</v>
      </c>
      <c r="F5" s="770" t="s">
        <v>5</v>
      </c>
      <c r="G5" s="771"/>
      <c r="H5" s="771"/>
      <c r="I5" s="771"/>
      <c r="J5" s="771"/>
      <c r="K5" s="771"/>
      <c r="L5" s="771"/>
      <c r="M5" s="771"/>
      <c r="N5" s="772"/>
      <c r="O5" s="770" t="s">
        <v>7</v>
      </c>
      <c r="P5" s="771"/>
      <c r="Q5" s="771"/>
      <c r="R5" s="771"/>
      <c r="S5" s="771"/>
      <c r="T5" s="772"/>
      <c r="U5" s="764" t="s">
        <v>80</v>
      </c>
      <c r="V5" s="765"/>
      <c r="W5" s="765"/>
      <c r="X5" s="765"/>
      <c r="Y5" s="765"/>
      <c r="Z5" s="765"/>
      <c r="AA5" s="765"/>
      <c r="AB5" s="765"/>
      <c r="AC5" s="765"/>
      <c r="AD5" s="765"/>
      <c r="AE5" s="765"/>
      <c r="AF5" s="765"/>
      <c r="AG5" s="765"/>
      <c r="AH5" s="765"/>
      <c r="AI5" s="765"/>
      <c r="AJ5" s="765"/>
      <c r="AK5" s="765"/>
      <c r="AL5" s="765"/>
      <c r="AM5" s="765"/>
      <c r="AN5" s="765"/>
      <c r="AO5" s="765"/>
      <c r="AP5" s="765"/>
      <c r="AQ5" s="765"/>
      <c r="AR5" s="765"/>
      <c r="AS5" s="766"/>
      <c r="AT5" s="763" t="s">
        <v>13</v>
      </c>
      <c r="AV5" s="776" t="s">
        <v>111</v>
      </c>
      <c r="AW5" s="777"/>
      <c r="AX5" s="777"/>
      <c r="AY5" s="778"/>
    </row>
    <row r="6" spans="1:52" ht="15" customHeight="1">
      <c r="A6" s="768"/>
      <c r="B6" s="768"/>
      <c r="C6" s="768"/>
      <c r="D6" s="768"/>
      <c r="E6" s="768"/>
      <c r="F6" s="773"/>
      <c r="G6" s="774"/>
      <c r="H6" s="774"/>
      <c r="I6" s="774"/>
      <c r="J6" s="774"/>
      <c r="K6" s="774"/>
      <c r="L6" s="774"/>
      <c r="M6" s="774"/>
      <c r="N6" s="775"/>
      <c r="O6" s="773"/>
      <c r="P6" s="774"/>
      <c r="Q6" s="774"/>
      <c r="R6" s="774"/>
      <c r="S6" s="774"/>
      <c r="T6" s="775"/>
      <c r="U6" s="764" t="s">
        <v>8</v>
      </c>
      <c r="V6" s="765"/>
      <c r="W6" s="765"/>
      <c r="X6" s="765"/>
      <c r="Y6" s="766"/>
      <c r="Z6" s="764" t="s">
        <v>9</v>
      </c>
      <c r="AA6" s="765"/>
      <c r="AB6" s="765"/>
      <c r="AC6" s="765"/>
      <c r="AD6" s="766"/>
      <c r="AE6" s="764" t="s">
        <v>10</v>
      </c>
      <c r="AF6" s="765"/>
      <c r="AG6" s="765"/>
      <c r="AH6" s="765"/>
      <c r="AI6" s="766"/>
      <c r="AJ6" s="764" t="s">
        <v>11</v>
      </c>
      <c r="AK6" s="765"/>
      <c r="AL6" s="765"/>
      <c r="AM6" s="765"/>
      <c r="AN6" s="766"/>
      <c r="AO6" s="764" t="s">
        <v>12</v>
      </c>
      <c r="AP6" s="765"/>
      <c r="AQ6" s="765"/>
      <c r="AR6" s="765"/>
      <c r="AS6" s="766"/>
      <c r="AT6" s="763"/>
      <c r="AV6" s="779" t="s">
        <v>113</v>
      </c>
      <c r="AW6" s="779" t="s">
        <v>112</v>
      </c>
      <c r="AX6" s="779" t="s">
        <v>114</v>
      </c>
      <c r="AY6" s="779" t="s">
        <v>115</v>
      </c>
    </row>
    <row r="7" spans="1:52" ht="30.75" customHeight="1">
      <c r="A7" s="768"/>
      <c r="B7" s="768"/>
      <c r="C7" s="768"/>
      <c r="D7" s="768"/>
      <c r="E7" s="768"/>
      <c r="F7" s="763" t="s">
        <v>46</v>
      </c>
      <c r="G7" s="763" t="s">
        <v>17</v>
      </c>
      <c r="H7" s="763"/>
      <c r="I7" s="763"/>
      <c r="J7" s="763"/>
      <c r="K7" s="763"/>
      <c r="L7" s="763"/>
      <c r="M7" s="763"/>
      <c r="N7" s="763"/>
      <c r="O7" s="763" t="s">
        <v>47</v>
      </c>
      <c r="P7" s="763" t="s">
        <v>48</v>
      </c>
      <c r="Q7" s="763"/>
      <c r="R7" s="763"/>
      <c r="S7" s="763"/>
      <c r="T7" s="763"/>
      <c r="U7" s="763" t="s">
        <v>62</v>
      </c>
      <c r="V7" s="763"/>
      <c r="W7" s="763" t="s">
        <v>21</v>
      </c>
      <c r="X7" s="763"/>
      <c r="Y7" s="763"/>
      <c r="Z7" s="763" t="s">
        <v>62</v>
      </c>
      <c r="AA7" s="763"/>
      <c r="AB7" s="763" t="s">
        <v>21</v>
      </c>
      <c r="AC7" s="763"/>
      <c r="AD7" s="763"/>
      <c r="AE7" s="763" t="s">
        <v>62</v>
      </c>
      <c r="AF7" s="763"/>
      <c r="AG7" s="763" t="s">
        <v>21</v>
      </c>
      <c r="AH7" s="763"/>
      <c r="AI7" s="763"/>
      <c r="AJ7" s="763" t="s">
        <v>62</v>
      </c>
      <c r="AK7" s="763"/>
      <c r="AL7" s="763" t="s">
        <v>107</v>
      </c>
      <c r="AM7" s="763"/>
      <c r="AN7" s="763"/>
      <c r="AO7" s="763" t="s">
        <v>108</v>
      </c>
      <c r="AP7" s="763"/>
      <c r="AQ7" s="763" t="s">
        <v>107</v>
      </c>
      <c r="AR7" s="763"/>
      <c r="AS7" s="763"/>
      <c r="AT7" s="763"/>
      <c r="AV7" s="780"/>
      <c r="AW7" s="780"/>
      <c r="AX7" s="780"/>
      <c r="AY7" s="780"/>
    </row>
    <row r="8" spans="1:52" ht="36" customHeight="1">
      <c r="A8" s="768"/>
      <c r="B8" s="768"/>
      <c r="C8" s="768"/>
      <c r="D8" s="768"/>
      <c r="E8" s="768"/>
      <c r="F8" s="763"/>
      <c r="G8" s="763" t="s">
        <v>58</v>
      </c>
      <c r="H8" s="763" t="s">
        <v>48</v>
      </c>
      <c r="I8" s="763"/>
      <c r="J8" s="763"/>
      <c r="K8" s="763"/>
      <c r="L8" s="763"/>
      <c r="M8" s="763"/>
      <c r="N8" s="763"/>
      <c r="O8" s="763"/>
      <c r="P8" s="763" t="s">
        <v>49</v>
      </c>
      <c r="Q8" s="763"/>
      <c r="R8" s="764" t="s">
        <v>61</v>
      </c>
      <c r="S8" s="765"/>
      <c r="T8" s="766"/>
      <c r="U8" s="767" t="s">
        <v>22</v>
      </c>
      <c r="V8" s="767" t="s">
        <v>31</v>
      </c>
      <c r="W8" s="767" t="s">
        <v>22</v>
      </c>
      <c r="X8" s="763" t="s">
        <v>24</v>
      </c>
      <c r="Y8" s="763"/>
      <c r="Z8" s="767" t="s">
        <v>22</v>
      </c>
      <c r="AA8" s="767" t="s">
        <v>32</v>
      </c>
      <c r="AB8" s="767" t="s">
        <v>22</v>
      </c>
      <c r="AC8" s="763" t="s">
        <v>24</v>
      </c>
      <c r="AD8" s="763"/>
      <c r="AE8" s="767" t="s">
        <v>22</v>
      </c>
      <c r="AF8" s="767" t="s">
        <v>86</v>
      </c>
      <c r="AG8" s="767" t="s">
        <v>22</v>
      </c>
      <c r="AH8" s="763" t="s">
        <v>24</v>
      </c>
      <c r="AI8" s="763"/>
      <c r="AJ8" s="767" t="s">
        <v>22</v>
      </c>
      <c r="AK8" s="767" t="s">
        <v>89</v>
      </c>
      <c r="AL8" s="767" t="s">
        <v>22</v>
      </c>
      <c r="AM8" s="763" t="s">
        <v>24</v>
      </c>
      <c r="AN8" s="763"/>
      <c r="AO8" s="767" t="s">
        <v>22</v>
      </c>
      <c r="AP8" s="767" t="s">
        <v>92</v>
      </c>
      <c r="AQ8" s="767" t="s">
        <v>22</v>
      </c>
      <c r="AR8" s="763" t="s">
        <v>24</v>
      </c>
      <c r="AS8" s="763"/>
      <c r="AT8" s="763"/>
      <c r="AV8" s="780"/>
      <c r="AW8" s="780"/>
      <c r="AX8" s="780"/>
      <c r="AY8" s="780"/>
    </row>
    <row r="9" spans="1:52" ht="15" customHeight="1">
      <c r="A9" s="768"/>
      <c r="B9" s="768"/>
      <c r="C9" s="768"/>
      <c r="D9" s="768"/>
      <c r="E9" s="768"/>
      <c r="F9" s="763"/>
      <c r="G9" s="763"/>
      <c r="H9" s="764" t="s">
        <v>49</v>
      </c>
      <c r="I9" s="765"/>
      <c r="J9" s="766"/>
      <c r="K9" s="763" t="s">
        <v>59</v>
      </c>
      <c r="L9" s="763"/>
      <c r="M9" s="763"/>
      <c r="N9" s="763"/>
      <c r="O9" s="763"/>
      <c r="P9" s="763" t="s">
        <v>22</v>
      </c>
      <c r="Q9" s="763" t="s">
        <v>53</v>
      </c>
      <c r="R9" s="763" t="s">
        <v>22</v>
      </c>
      <c r="S9" s="767" t="s">
        <v>50</v>
      </c>
      <c r="T9" s="767" t="s">
        <v>54</v>
      </c>
      <c r="U9" s="768"/>
      <c r="V9" s="768"/>
      <c r="W9" s="768"/>
      <c r="X9" s="763" t="s">
        <v>84</v>
      </c>
      <c r="Y9" s="763" t="s">
        <v>102</v>
      </c>
      <c r="Z9" s="768"/>
      <c r="AA9" s="768"/>
      <c r="AB9" s="768"/>
      <c r="AC9" s="763" t="s">
        <v>85</v>
      </c>
      <c r="AD9" s="763" t="s">
        <v>103</v>
      </c>
      <c r="AE9" s="768"/>
      <c r="AF9" s="768"/>
      <c r="AG9" s="768"/>
      <c r="AH9" s="763" t="s">
        <v>88</v>
      </c>
      <c r="AI9" s="763" t="s">
        <v>104</v>
      </c>
      <c r="AJ9" s="768"/>
      <c r="AK9" s="768"/>
      <c r="AL9" s="768"/>
      <c r="AM9" s="763" t="s">
        <v>90</v>
      </c>
      <c r="AN9" s="763" t="s">
        <v>105</v>
      </c>
      <c r="AO9" s="768"/>
      <c r="AP9" s="768"/>
      <c r="AQ9" s="768"/>
      <c r="AR9" s="763" t="s">
        <v>93</v>
      </c>
      <c r="AS9" s="763" t="s">
        <v>106</v>
      </c>
      <c r="AT9" s="763"/>
      <c r="AV9" s="780"/>
      <c r="AW9" s="780"/>
      <c r="AX9" s="780"/>
      <c r="AY9" s="780"/>
    </row>
    <row r="10" spans="1:52">
      <c r="A10" s="768"/>
      <c r="B10" s="768"/>
      <c r="C10" s="768"/>
      <c r="D10" s="768"/>
      <c r="E10" s="768"/>
      <c r="F10" s="763"/>
      <c r="G10" s="763"/>
      <c r="H10" s="763" t="s">
        <v>60</v>
      </c>
      <c r="I10" s="764" t="s">
        <v>24</v>
      </c>
      <c r="J10" s="766"/>
      <c r="K10" s="763" t="s">
        <v>51</v>
      </c>
      <c r="L10" s="763" t="s">
        <v>52</v>
      </c>
      <c r="M10" s="763"/>
      <c r="N10" s="763"/>
      <c r="O10" s="763"/>
      <c r="P10" s="763"/>
      <c r="Q10" s="763"/>
      <c r="R10" s="763"/>
      <c r="S10" s="768"/>
      <c r="T10" s="768"/>
      <c r="U10" s="768"/>
      <c r="V10" s="768"/>
      <c r="W10" s="768"/>
      <c r="X10" s="763"/>
      <c r="Y10" s="763"/>
      <c r="Z10" s="768"/>
      <c r="AA10" s="768"/>
      <c r="AB10" s="768"/>
      <c r="AC10" s="763"/>
      <c r="AD10" s="763"/>
      <c r="AE10" s="768"/>
      <c r="AF10" s="768"/>
      <c r="AG10" s="768"/>
      <c r="AH10" s="763"/>
      <c r="AI10" s="763"/>
      <c r="AJ10" s="768"/>
      <c r="AK10" s="768"/>
      <c r="AL10" s="768"/>
      <c r="AM10" s="763"/>
      <c r="AN10" s="763"/>
      <c r="AO10" s="768"/>
      <c r="AP10" s="768"/>
      <c r="AQ10" s="768"/>
      <c r="AR10" s="763"/>
      <c r="AS10" s="763"/>
      <c r="AT10" s="763"/>
      <c r="AV10" s="781"/>
      <c r="AW10" s="781"/>
      <c r="AX10" s="781"/>
      <c r="AY10" s="781"/>
    </row>
    <row r="11" spans="1:52" ht="15" customHeight="1">
      <c r="A11" s="768"/>
      <c r="B11" s="768"/>
      <c r="C11" s="768"/>
      <c r="D11" s="768"/>
      <c r="E11" s="768"/>
      <c r="F11" s="763"/>
      <c r="G11" s="763"/>
      <c r="H11" s="763"/>
      <c r="I11" s="767" t="s">
        <v>55</v>
      </c>
      <c r="J11" s="767" t="s">
        <v>56</v>
      </c>
      <c r="K11" s="763"/>
      <c r="L11" s="763" t="s">
        <v>22</v>
      </c>
      <c r="M11" s="763" t="s">
        <v>24</v>
      </c>
      <c r="N11" s="763"/>
      <c r="O11" s="763"/>
      <c r="P11" s="763"/>
      <c r="Q11" s="763"/>
      <c r="R11" s="763"/>
      <c r="S11" s="768"/>
      <c r="T11" s="768"/>
      <c r="U11" s="768"/>
      <c r="V11" s="768"/>
      <c r="W11" s="768"/>
      <c r="X11" s="763"/>
      <c r="Y11" s="763"/>
      <c r="Z11" s="768"/>
      <c r="AA11" s="768"/>
      <c r="AB11" s="768"/>
      <c r="AC11" s="763"/>
      <c r="AD11" s="763"/>
      <c r="AE11" s="768"/>
      <c r="AF11" s="768"/>
      <c r="AG11" s="768"/>
      <c r="AH11" s="763"/>
      <c r="AI11" s="763"/>
      <c r="AJ11" s="768"/>
      <c r="AK11" s="768"/>
      <c r="AL11" s="768"/>
      <c r="AM11" s="763"/>
      <c r="AN11" s="763"/>
      <c r="AO11" s="768"/>
      <c r="AP11" s="768"/>
      <c r="AQ11" s="768"/>
      <c r="AR11" s="763"/>
      <c r="AS11" s="763"/>
      <c r="AT11" s="763"/>
      <c r="AV11" s="35"/>
      <c r="AW11" s="35"/>
      <c r="AX11" s="35"/>
      <c r="AY11" s="35"/>
    </row>
    <row r="12" spans="1:52">
      <c r="A12" s="768"/>
      <c r="B12" s="768"/>
      <c r="C12" s="768"/>
      <c r="D12" s="768"/>
      <c r="E12" s="768"/>
      <c r="F12" s="763"/>
      <c r="G12" s="763"/>
      <c r="H12" s="763"/>
      <c r="I12" s="768"/>
      <c r="J12" s="768"/>
      <c r="K12" s="763"/>
      <c r="L12" s="763"/>
      <c r="M12" s="763" t="s">
        <v>57</v>
      </c>
      <c r="N12" s="763" t="s">
        <v>54</v>
      </c>
      <c r="O12" s="763"/>
      <c r="P12" s="763"/>
      <c r="Q12" s="763"/>
      <c r="R12" s="763"/>
      <c r="S12" s="768"/>
      <c r="T12" s="768"/>
      <c r="U12" s="768"/>
      <c r="V12" s="768"/>
      <c r="W12" s="768"/>
      <c r="X12" s="763"/>
      <c r="Y12" s="763"/>
      <c r="Z12" s="768"/>
      <c r="AA12" s="768"/>
      <c r="AB12" s="768"/>
      <c r="AC12" s="763"/>
      <c r="AD12" s="763"/>
      <c r="AE12" s="768"/>
      <c r="AF12" s="768"/>
      <c r="AG12" s="768"/>
      <c r="AH12" s="763"/>
      <c r="AI12" s="763"/>
      <c r="AJ12" s="768"/>
      <c r="AK12" s="768"/>
      <c r="AL12" s="768"/>
      <c r="AM12" s="763"/>
      <c r="AN12" s="763"/>
      <c r="AO12" s="768"/>
      <c r="AP12" s="768"/>
      <c r="AQ12" s="768"/>
      <c r="AR12" s="763"/>
      <c r="AS12" s="763"/>
      <c r="AT12" s="763"/>
      <c r="AV12" s="35"/>
      <c r="AW12" s="35"/>
      <c r="AX12" s="35"/>
      <c r="AY12" s="35"/>
      <c r="AZ12" s="54" t="s">
        <v>385</v>
      </c>
    </row>
    <row r="13" spans="1:52" ht="63.75" customHeight="1">
      <c r="A13" s="769"/>
      <c r="B13" s="769"/>
      <c r="C13" s="769"/>
      <c r="D13" s="769"/>
      <c r="E13" s="769"/>
      <c r="F13" s="763"/>
      <c r="G13" s="763"/>
      <c r="H13" s="763"/>
      <c r="I13" s="769"/>
      <c r="J13" s="769"/>
      <c r="K13" s="763"/>
      <c r="L13" s="763"/>
      <c r="M13" s="763"/>
      <c r="N13" s="763"/>
      <c r="O13" s="763"/>
      <c r="P13" s="763"/>
      <c r="Q13" s="763"/>
      <c r="R13" s="763"/>
      <c r="S13" s="769"/>
      <c r="T13" s="769"/>
      <c r="U13" s="769"/>
      <c r="V13" s="769"/>
      <c r="W13" s="769"/>
      <c r="X13" s="763"/>
      <c r="Y13" s="763"/>
      <c r="Z13" s="769"/>
      <c r="AA13" s="769"/>
      <c r="AB13" s="769"/>
      <c r="AC13" s="763"/>
      <c r="AD13" s="763"/>
      <c r="AE13" s="769"/>
      <c r="AF13" s="769"/>
      <c r="AG13" s="769"/>
      <c r="AH13" s="763"/>
      <c r="AI13" s="763"/>
      <c r="AJ13" s="769"/>
      <c r="AK13" s="769"/>
      <c r="AL13" s="769"/>
      <c r="AM13" s="763"/>
      <c r="AN13" s="763"/>
      <c r="AO13" s="769"/>
      <c r="AP13" s="769"/>
      <c r="AQ13" s="769"/>
      <c r="AR13" s="763"/>
      <c r="AS13" s="763"/>
      <c r="AT13" s="763"/>
      <c r="AU13" s="66" t="s">
        <v>79</v>
      </c>
      <c r="AV13" s="35">
        <f>SUM(AV16:AV37)</f>
        <v>3</v>
      </c>
      <c r="AW13" s="35">
        <f t="shared" ref="AW13:AY13" si="0">SUM(AW16:AW37)</f>
        <v>2</v>
      </c>
      <c r="AX13" s="35">
        <f t="shared" si="0"/>
        <v>1</v>
      </c>
      <c r="AY13" s="35">
        <f t="shared" si="0"/>
        <v>0</v>
      </c>
      <c r="AZ13" s="66">
        <f>SUM(AV13:AY13)</f>
        <v>6</v>
      </c>
    </row>
    <row r="14" spans="1:52">
      <c r="A14" s="10">
        <v>1</v>
      </c>
      <c r="B14" s="10">
        <v>2</v>
      </c>
      <c r="C14" s="10">
        <v>3</v>
      </c>
      <c r="D14" s="10">
        <v>4</v>
      </c>
      <c r="E14" s="10">
        <v>5</v>
      </c>
      <c r="F14" s="10">
        <v>6</v>
      </c>
      <c r="G14" s="10">
        <v>7</v>
      </c>
      <c r="H14" s="10">
        <v>8</v>
      </c>
      <c r="I14" s="10">
        <v>9</v>
      </c>
      <c r="J14" s="10">
        <v>10</v>
      </c>
      <c r="K14" s="10">
        <v>11</v>
      </c>
      <c r="L14" s="10">
        <v>12</v>
      </c>
      <c r="M14" s="10">
        <v>13</v>
      </c>
      <c r="N14" s="10">
        <v>14</v>
      </c>
      <c r="O14" s="10">
        <v>15</v>
      </c>
      <c r="P14" s="10">
        <v>16</v>
      </c>
      <c r="Q14" s="10">
        <v>17</v>
      </c>
      <c r="R14" s="10">
        <v>18</v>
      </c>
      <c r="S14" s="10">
        <v>19</v>
      </c>
      <c r="T14" s="10">
        <v>20</v>
      </c>
      <c r="U14" s="10">
        <v>21</v>
      </c>
      <c r="V14" s="10">
        <v>22</v>
      </c>
      <c r="W14" s="10">
        <v>23</v>
      </c>
      <c r="X14" s="10">
        <v>24</v>
      </c>
      <c r="Y14" s="10">
        <v>25</v>
      </c>
      <c r="Z14" s="10">
        <v>26</v>
      </c>
      <c r="AA14" s="10">
        <v>27</v>
      </c>
      <c r="AB14" s="10">
        <v>28</v>
      </c>
      <c r="AC14" s="10">
        <v>29</v>
      </c>
      <c r="AD14" s="10">
        <v>30</v>
      </c>
      <c r="AE14" s="10">
        <v>31</v>
      </c>
      <c r="AF14" s="10">
        <v>32</v>
      </c>
      <c r="AG14" s="10">
        <v>33</v>
      </c>
      <c r="AH14" s="10">
        <v>34</v>
      </c>
      <c r="AI14" s="10">
        <v>35</v>
      </c>
      <c r="AJ14" s="10">
        <v>36</v>
      </c>
      <c r="AK14" s="10">
        <v>37</v>
      </c>
      <c r="AL14" s="10">
        <v>38</v>
      </c>
      <c r="AM14" s="10">
        <v>39</v>
      </c>
      <c r="AN14" s="10">
        <v>40</v>
      </c>
      <c r="AO14" s="10">
        <v>41</v>
      </c>
      <c r="AP14" s="10">
        <v>42</v>
      </c>
      <c r="AQ14" s="10">
        <v>43</v>
      </c>
      <c r="AR14" s="10">
        <v>44</v>
      </c>
      <c r="AS14" s="10">
        <v>45</v>
      </c>
      <c r="AT14" s="10">
        <v>46</v>
      </c>
      <c r="AV14" s="35"/>
      <c r="AW14" s="35"/>
      <c r="AX14" s="35"/>
      <c r="AY14" s="35"/>
    </row>
    <row r="15" spans="1:52" ht="17.25">
      <c r="A15" s="26"/>
      <c r="B15" s="19" t="s">
        <v>68</v>
      </c>
      <c r="C15" s="26"/>
      <c r="D15" s="26"/>
      <c r="E15" s="26"/>
      <c r="F15" s="49"/>
      <c r="G15" s="45">
        <f t="shared" ref="G15:AS15" si="1">G16+G33</f>
        <v>3652877</v>
      </c>
      <c r="H15" s="45">
        <f t="shared" si="1"/>
        <v>825034</v>
      </c>
      <c r="I15" s="45">
        <f t="shared" si="1"/>
        <v>383146</v>
      </c>
      <c r="J15" s="45">
        <f t="shared" si="1"/>
        <v>441888</v>
      </c>
      <c r="K15" s="45">
        <f t="shared" si="1"/>
        <v>0</v>
      </c>
      <c r="L15" s="45">
        <f t="shared" si="1"/>
        <v>2827843</v>
      </c>
      <c r="M15" s="45">
        <f t="shared" si="1"/>
        <v>2456691</v>
      </c>
      <c r="N15" s="45">
        <f t="shared" si="1"/>
        <v>371152</v>
      </c>
      <c r="O15" s="45">
        <f t="shared" si="1"/>
        <v>1670043</v>
      </c>
      <c r="P15" s="45">
        <f t="shared" si="1"/>
        <v>344132</v>
      </c>
      <c r="Q15" s="45">
        <f t="shared" si="1"/>
        <v>0</v>
      </c>
      <c r="R15" s="45">
        <f t="shared" si="1"/>
        <v>1325911</v>
      </c>
      <c r="S15" s="45">
        <f t="shared" si="1"/>
        <v>1325911</v>
      </c>
      <c r="T15" s="45">
        <f t="shared" si="1"/>
        <v>0</v>
      </c>
      <c r="U15" s="45">
        <f t="shared" si="1"/>
        <v>179172</v>
      </c>
      <c r="V15" s="45">
        <f t="shared" si="1"/>
        <v>3004.1660000000002</v>
      </c>
      <c r="W15" s="45">
        <f t="shared" si="1"/>
        <v>175268.003432</v>
      </c>
      <c r="X15" s="45">
        <f t="shared" si="1"/>
        <v>172263.837432</v>
      </c>
      <c r="Y15" s="45">
        <f t="shared" si="1"/>
        <v>3004.1660000000002</v>
      </c>
      <c r="Z15" s="45">
        <f t="shared" si="1"/>
        <v>84520</v>
      </c>
      <c r="AA15" s="45">
        <f t="shared" si="1"/>
        <v>0</v>
      </c>
      <c r="AB15" s="45">
        <f t="shared" si="1"/>
        <v>81340.097850000006</v>
      </c>
      <c r="AC15" s="45">
        <f t="shared" si="1"/>
        <v>81340.097850000006</v>
      </c>
      <c r="AD15" s="45">
        <f t="shared" si="1"/>
        <v>0</v>
      </c>
      <c r="AE15" s="45">
        <f t="shared" si="1"/>
        <v>304394</v>
      </c>
      <c r="AF15" s="45">
        <f t="shared" si="1"/>
        <v>0</v>
      </c>
      <c r="AG15" s="45">
        <f t="shared" si="1"/>
        <v>115078.656835</v>
      </c>
      <c r="AH15" s="45">
        <f t="shared" si="1"/>
        <v>115078.656835</v>
      </c>
      <c r="AI15" s="45">
        <f t="shared" si="1"/>
        <v>0</v>
      </c>
      <c r="AJ15" s="45">
        <f t="shared" si="1"/>
        <v>100000</v>
      </c>
      <c r="AK15" s="45">
        <f t="shared" si="1"/>
        <v>0</v>
      </c>
      <c r="AL15" s="45">
        <f t="shared" si="1"/>
        <v>100000</v>
      </c>
      <c r="AM15" s="45">
        <f t="shared" si="1"/>
        <v>100000</v>
      </c>
      <c r="AN15" s="45">
        <f t="shared" si="1"/>
        <v>0</v>
      </c>
      <c r="AO15" s="45">
        <f t="shared" si="1"/>
        <v>85706</v>
      </c>
      <c r="AP15" s="45">
        <f t="shared" si="1"/>
        <v>0</v>
      </c>
      <c r="AQ15" s="45">
        <f t="shared" si="1"/>
        <v>85706</v>
      </c>
      <c r="AR15" s="45">
        <f t="shared" si="1"/>
        <v>85706</v>
      </c>
      <c r="AS15" s="45">
        <f t="shared" si="1"/>
        <v>0</v>
      </c>
      <c r="AT15" s="10"/>
      <c r="AU15" s="66"/>
      <c r="AV15" s="35"/>
      <c r="AW15" s="35"/>
      <c r="AX15" s="35"/>
      <c r="AY15" s="35"/>
    </row>
    <row r="16" spans="1:52" ht="40.5">
      <c r="A16" s="27" t="s">
        <v>37</v>
      </c>
      <c r="B16" s="28" t="s">
        <v>365</v>
      </c>
      <c r="C16" s="29"/>
      <c r="D16" s="30"/>
      <c r="E16" s="30"/>
      <c r="F16" s="50"/>
      <c r="G16" s="45">
        <f t="shared" ref="G16:AS16" si="2">G17+G23+G26+G29</f>
        <v>3644802</v>
      </c>
      <c r="H16" s="45">
        <f t="shared" si="2"/>
        <v>825034</v>
      </c>
      <c r="I16" s="45">
        <f t="shared" si="2"/>
        <v>383146</v>
      </c>
      <c r="J16" s="45">
        <f t="shared" si="2"/>
        <v>441888</v>
      </c>
      <c r="K16" s="45">
        <f t="shared" si="2"/>
        <v>0</v>
      </c>
      <c r="L16" s="45">
        <f t="shared" si="2"/>
        <v>2819768</v>
      </c>
      <c r="M16" s="45">
        <f t="shared" si="2"/>
        <v>2448616</v>
      </c>
      <c r="N16" s="45">
        <f t="shared" si="2"/>
        <v>371152</v>
      </c>
      <c r="O16" s="45">
        <f t="shared" si="2"/>
        <v>1661968</v>
      </c>
      <c r="P16" s="45">
        <f t="shared" si="2"/>
        <v>344132</v>
      </c>
      <c r="Q16" s="45">
        <f t="shared" si="2"/>
        <v>0</v>
      </c>
      <c r="R16" s="45">
        <f t="shared" si="2"/>
        <v>1317836</v>
      </c>
      <c r="S16" s="45">
        <f t="shared" si="2"/>
        <v>1317836</v>
      </c>
      <c r="T16" s="45">
        <f t="shared" si="2"/>
        <v>0</v>
      </c>
      <c r="U16" s="45">
        <f t="shared" si="2"/>
        <v>179172</v>
      </c>
      <c r="V16" s="45">
        <f t="shared" si="2"/>
        <v>3004.1660000000002</v>
      </c>
      <c r="W16" s="45">
        <f t="shared" si="2"/>
        <v>175268.003432</v>
      </c>
      <c r="X16" s="45">
        <f t="shared" si="2"/>
        <v>172263.837432</v>
      </c>
      <c r="Y16" s="45">
        <f t="shared" si="2"/>
        <v>3004.1660000000002</v>
      </c>
      <c r="Z16" s="45">
        <f t="shared" si="2"/>
        <v>76598</v>
      </c>
      <c r="AA16" s="45">
        <f t="shared" si="2"/>
        <v>0</v>
      </c>
      <c r="AB16" s="45">
        <f t="shared" si="2"/>
        <v>74980.199850000005</v>
      </c>
      <c r="AC16" s="45">
        <f t="shared" si="2"/>
        <v>74980.199850000005</v>
      </c>
      <c r="AD16" s="45">
        <f t="shared" si="2"/>
        <v>0</v>
      </c>
      <c r="AE16" s="45">
        <f t="shared" si="2"/>
        <v>304394</v>
      </c>
      <c r="AF16" s="45">
        <f t="shared" si="2"/>
        <v>0</v>
      </c>
      <c r="AG16" s="45">
        <f t="shared" si="2"/>
        <v>115078.656835</v>
      </c>
      <c r="AH16" s="45">
        <f t="shared" si="2"/>
        <v>115078.656835</v>
      </c>
      <c r="AI16" s="45">
        <f t="shared" si="2"/>
        <v>0</v>
      </c>
      <c r="AJ16" s="45">
        <f t="shared" si="2"/>
        <v>100000</v>
      </c>
      <c r="AK16" s="45">
        <f t="shared" si="2"/>
        <v>0</v>
      </c>
      <c r="AL16" s="45">
        <f t="shared" si="2"/>
        <v>100000</v>
      </c>
      <c r="AM16" s="45">
        <f t="shared" si="2"/>
        <v>100000</v>
      </c>
      <c r="AN16" s="45">
        <f t="shared" si="2"/>
        <v>0</v>
      </c>
      <c r="AO16" s="45">
        <f t="shared" si="2"/>
        <v>85706</v>
      </c>
      <c r="AP16" s="45">
        <f t="shared" si="2"/>
        <v>0</v>
      </c>
      <c r="AQ16" s="45">
        <f t="shared" si="2"/>
        <v>85706</v>
      </c>
      <c r="AR16" s="45">
        <f t="shared" si="2"/>
        <v>85706</v>
      </c>
      <c r="AS16" s="45">
        <f t="shared" si="2"/>
        <v>0</v>
      </c>
      <c r="AT16" s="10"/>
      <c r="AV16" s="35"/>
      <c r="AW16" s="35"/>
      <c r="AX16" s="35"/>
      <c r="AY16" s="35"/>
    </row>
    <row r="17" spans="1:51">
      <c r="A17" s="31" t="s">
        <v>33</v>
      </c>
      <c r="B17" s="32" t="s">
        <v>366</v>
      </c>
      <c r="C17" s="29"/>
      <c r="D17" s="30"/>
      <c r="E17" s="30"/>
      <c r="F17" s="50"/>
      <c r="G17" s="45">
        <f t="shared" ref="G17:AS17" si="3">G18+G20</f>
        <v>1208550</v>
      </c>
      <c r="H17" s="45">
        <f t="shared" si="3"/>
        <v>309129</v>
      </c>
      <c r="I17" s="45">
        <f t="shared" si="3"/>
        <v>275028</v>
      </c>
      <c r="J17" s="45">
        <f t="shared" si="3"/>
        <v>34101</v>
      </c>
      <c r="K17" s="45">
        <f t="shared" si="3"/>
        <v>0</v>
      </c>
      <c r="L17" s="45">
        <f t="shared" si="3"/>
        <v>899421</v>
      </c>
      <c r="M17" s="45">
        <f t="shared" si="3"/>
        <v>684305</v>
      </c>
      <c r="N17" s="45">
        <f t="shared" si="3"/>
        <v>215116</v>
      </c>
      <c r="O17" s="45">
        <f t="shared" si="3"/>
        <v>817281</v>
      </c>
      <c r="P17" s="45">
        <f t="shared" si="3"/>
        <v>275028</v>
      </c>
      <c r="Q17" s="45">
        <f t="shared" si="3"/>
        <v>0</v>
      </c>
      <c r="R17" s="45">
        <f t="shared" si="3"/>
        <v>542253</v>
      </c>
      <c r="S17" s="45">
        <f t="shared" si="3"/>
        <v>542253</v>
      </c>
      <c r="T17" s="45">
        <f t="shared" si="3"/>
        <v>0</v>
      </c>
      <c r="U17" s="45">
        <f t="shared" si="3"/>
        <v>29846</v>
      </c>
      <c r="V17" s="45">
        <f t="shared" si="3"/>
        <v>0</v>
      </c>
      <c r="W17" s="45">
        <f t="shared" si="3"/>
        <v>25942.456833</v>
      </c>
      <c r="X17" s="45">
        <f t="shared" si="3"/>
        <v>25942.456833</v>
      </c>
      <c r="Y17" s="45">
        <f t="shared" si="3"/>
        <v>0</v>
      </c>
      <c r="Z17" s="45">
        <f t="shared" si="3"/>
        <v>20388</v>
      </c>
      <c r="AA17" s="45">
        <f t="shared" si="3"/>
        <v>0</v>
      </c>
      <c r="AB17" s="45">
        <f t="shared" si="3"/>
        <v>19269.566699999999</v>
      </c>
      <c r="AC17" s="45">
        <f t="shared" si="3"/>
        <v>19269.566699999999</v>
      </c>
      <c r="AD17" s="45">
        <f t="shared" si="3"/>
        <v>0</v>
      </c>
      <c r="AE17" s="45">
        <f t="shared" si="3"/>
        <v>304394</v>
      </c>
      <c r="AF17" s="45">
        <f t="shared" si="3"/>
        <v>0</v>
      </c>
      <c r="AG17" s="45">
        <f t="shared" si="3"/>
        <v>115078.656835</v>
      </c>
      <c r="AH17" s="45">
        <f t="shared" si="3"/>
        <v>115078.656835</v>
      </c>
      <c r="AI17" s="45">
        <f t="shared" si="3"/>
        <v>0</v>
      </c>
      <c r="AJ17" s="45">
        <f t="shared" si="3"/>
        <v>100000</v>
      </c>
      <c r="AK17" s="45">
        <f t="shared" si="3"/>
        <v>0</v>
      </c>
      <c r="AL17" s="45">
        <f t="shared" si="3"/>
        <v>100000</v>
      </c>
      <c r="AM17" s="45">
        <f t="shared" si="3"/>
        <v>100000</v>
      </c>
      <c r="AN17" s="45">
        <f t="shared" si="3"/>
        <v>0</v>
      </c>
      <c r="AO17" s="45">
        <f t="shared" si="3"/>
        <v>85706</v>
      </c>
      <c r="AP17" s="45">
        <f t="shared" si="3"/>
        <v>0</v>
      </c>
      <c r="AQ17" s="45">
        <f t="shared" si="3"/>
        <v>85706</v>
      </c>
      <c r="AR17" s="45">
        <f t="shared" si="3"/>
        <v>85706</v>
      </c>
      <c r="AS17" s="45">
        <f t="shared" si="3"/>
        <v>0</v>
      </c>
      <c r="AT17" s="10"/>
      <c r="AV17" s="35"/>
      <c r="AW17" s="35"/>
      <c r="AX17" s="35"/>
      <c r="AY17" s="35"/>
    </row>
    <row r="18" spans="1:51" ht="40.5">
      <c r="A18" s="31" t="s">
        <v>120</v>
      </c>
      <c r="B18" s="33" t="s">
        <v>35</v>
      </c>
      <c r="C18" s="29"/>
      <c r="D18" s="30"/>
      <c r="E18" s="30"/>
      <c r="F18" s="50"/>
      <c r="G18" s="45">
        <f>G19</f>
        <v>227522</v>
      </c>
      <c r="H18" s="45">
        <f t="shared" ref="H18:AS18" si="4">H19</f>
        <v>34101</v>
      </c>
      <c r="I18" s="45">
        <f t="shared" si="4"/>
        <v>0</v>
      </c>
      <c r="J18" s="45">
        <f t="shared" si="4"/>
        <v>34101</v>
      </c>
      <c r="K18" s="45">
        <f t="shared" si="4"/>
        <v>0</v>
      </c>
      <c r="L18" s="45">
        <f t="shared" si="4"/>
        <v>193421</v>
      </c>
      <c r="M18" s="45">
        <f t="shared" si="4"/>
        <v>177955</v>
      </c>
      <c r="N18" s="45">
        <f t="shared" si="4"/>
        <v>15466</v>
      </c>
      <c r="O18" s="45">
        <f t="shared" si="4"/>
        <v>35903</v>
      </c>
      <c r="P18" s="45">
        <f t="shared" si="4"/>
        <v>0</v>
      </c>
      <c r="Q18" s="45">
        <f t="shared" si="4"/>
        <v>0</v>
      </c>
      <c r="R18" s="45">
        <f t="shared" si="4"/>
        <v>35903</v>
      </c>
      <c r="S18" s="45">
        <f t="shared" si="4"/>
        <v>35903</v>
      </c>
      <c r="T18" s="45">
        <f t="shared" si="4"/>
        <v>0</v>
      </c>
      <c r="U18" s="45">
        <f t="shared" si="4"/>
        <v>29846</v>
      </c>
      <c r="V18" s="45">
        <f t="shared" si="4"/>
        <v>0</v>
      </c>
      <c r="W18" s="45">
        <f t="shared" si="4"/>
        <v>25942.456833</v>
      </c>
      <c r="X18" s="45">
        <f t="shared" si="4"/>
        <v>25942.456833</v>
      </c>
      <c r="Y18" s="45">
        <f t="shared" si="4"/>
        <v>0</v>
      </c>
      <c r="Z18" s="45">
        <f t="shared" si="4"/>
        <v>4138</v>
      </c>
      <c r="AA18" s="45">
        <f t="shared" si="4"/>
        <v>0</v>
      </c>
      <c r="AB18" s="45">
        <f t="shared" si="4"/>
        <v>3500.6667000000002</v>
      </c>
      <c r="AC18" s="45">
        <f t="shared" si="4"/>
        <v>3500.6667000000002</v>
      </c>
      <c r="AD18" s="45">
        <f t="shared" si="4"/>
        <v>0</v>
      </c>
      <c r="AE18" s="45">
        <f t="shared" si="4"/>
        <v>0</v>
      </c>
      <c r="AF18" s="45">
        <f t="shared" si="4"/>
        <v>0</v>
      </c>
      <c r="AG18" s="45">
        <f t="shared" si="4"/>
        <v>0</v>
      </c>
      <c r="AH18" s="45">
        <f t="shared" si="4"/>
        <v>0</v>
      </c>
      <c r="AI18" s="45">
        <f t="shared" si="4"/>
        <v>0</v>
      </c>
      <c r="AJ18" s="45">
        <f t="shared" si="4"/>
        <v>0</v>
      </c>
      <c r="AK18" s="45">
        <f t="shared" si="4"/>
        <v>0</v>
      </c>
      <c r="AL18" s="45">
        <f t="shared" si="4"/>
        <v>0</v>
      </c>
      <c r="AM18" s="45">
        <f t="shared" si="4"/>
        <v>0</v>
      </c>
      <c r="AN18" s="45">
        <f t="shared" si="4"/>
        <v>0</v>
      </c>
      <c r="AO18" s="45">
        <f t="shared" si="4"/>
        <v>0</v>
      </c>
      <c r="AP18" s="45">
        <f t="shared" si="4"/>
        <v>0</v>
      </c>
      <c r="AQ18" s="45">
        <f t="shared" si="4"/>
        <v>0</v>
      </c>
      <c r="AR18" s="45">
        <f t="shared" si="4"/>
        <v>0</v>
      </c>
      <c r="AS18" s="45">
        <f t="shared" si="4"/>
        <v>0</v>
      </c>
      <c r="AT18" s="10"/>
      <c r="AV18" s="35"/>
      <c r="AW18" s="35"/>
      <c r="AX18" s="35"/>
      <c r="AY18" s="35"/>
    </row>
    <row r="19" spans="1:51" ht="41.65">
      <c r="A19" s="35">
        <v>1</v>
      </c>
      <c r="B19" s="36" t="s">
        <v>367</v>
      </c>
      <c r="C19" s="10" t="s">
        <v>368</v>
      </c>
      <c r="D19" s="37">
        <v>42489</v>
      </c>
      <c r="E19" s="10"/>
      <c r="F19" s="51" t="s">
        <v>379</v>
      </c>
      <c r="G19" s="12">
        <f>+H19+L19</f>
        <v>227522</v>
      </c>
      <c r="H19" s="41">
        <v>34101</v>
      </c>
      <c r="I19" s="41"/>
      <c r="J19" s="41">
        <v>34101</v>
      </c>
      <c r="K19" s="42"/>
      <c r="L19" s="41">
        <f>+M19+N19</f>
        <v>193421</v>
      </c>
      <c r="M19" s="41">
        <v>177955</v>
      </c>
      <c r="N19" s="41">
        <v>15466</v>
      </c>
      <c r="O19" s="44">
        <f>P19+S19</f>
        <v>35903</v>
      </c>
      <c r="P19" s="41"/>
      <c r="Q19" s="41"/>
      <c r="R19" s="44">
        <f>+S19+T19</f>
        <v>35903</v>
      </c>
      <c r="S19" s="41">
        <v>35903</v>
      </c>
      <c r="T19" s="41"/>
      <c r="U19" s="41">
        <v>29846</v>
      </c>
      <c r="V19" s="41"/>
      <c r="W19" s="41">
        <f>X19+Y19</f>
        <v>25942.456833</v>
      </c>
      <c r="X19" s="41">
        <v>25942.456833</v>
      </c>
      <c r="Y19" s="41"/>
      <c r="Z19" s="41">
        <v>4138</v>
      </c>
      <c r="AA19" s="41"/>
      <c r="AB19" s="41">
        <f>AC19+AD19</f>
        <v>3500.6667000000002</v>
      </c>
      <c r="AC19" s="41">
        <v>3500.6667000000002</v>
      </c>
      <c r="AD19" s="41"/>
      <c r="AE19" s="41"/>
      <c r="AF19" s="41"/>
      <c r="AG19" s="41"/>
      <c r="AH19" s="41"/>
      <c r="AI19" s="41"/>
      <c r="AJ19" s="41"/>
      <c r="AK19" s="10"/>
      <c r="AL19" s="10"/>
      <c r="AM19" s="10"/>
      <c r="AN19" s="10"/>
      <c r="AO19" s="10"/>
      <c r="AP19" s="10"/>
      <c r="AQ19" s="10"/>
      <c r="AR19" s="10"/>
      <c r="AS19" s="10"/>
      <c r="AT19" s="10"/>
      <c r="AV19" s="35">
        <v>1</v>
      </c>
      <c r="AW19" s="35"/>
      <c r="AX19" s="35"/>
      <c r="AY19" s="35"/>
    </row>
    <row r="20" spans="1:51" ht="27">
      <c r="A20" s="31" t="s">
        <v>122</v>
      </c>
      <c r="B20" s="33" t="s">
        <v>36</v>
      </c>
      <c r="C20" s="29"/>
      <c r="D20" s="30"/>
      <c r="E20" s="30"/>
      <c r="F20" s="50"/>
      <c r="G20" s="45">
        <f t="shared" ref="G20:V21" si="5">G21</f>
        <v>981028</v>
      </c>
      <c r="H20" s="45">
        <f t="shared" si="5"/>
        <v>275028</v>
      </c>
      <c r="I20" s="45">
        <f t="shared" si="5"/>
        <v>275028</v>
      </c>
      <c r="J20" s="45">
        <f t="shared" si="5"/>
        <v>0</v>
      </c>
      <c r="K20" s="45">
        <f t="shared" si="5"/>
        <v>0</v>
      </c>
      <c r="L20" s="45">
        <f t="shared" si="5"/>
        <v>706000</v>
      </c>
      <c r="M20" s="45">
        <f t="shared" si="5"/>
        <v>506350</v>
      </c>
      <c r="N20" s="45">
        <f t="shared" si="5"/>
        <v>199650</v>
      </c>
      <c r="O20" s="45">
        <f t="shared" si="5"/>
        <v>781378</v>
      </c>
      <c r="P20" s="45">
        <f t="shared" si="5"/>
        <v>275028</v>
      </c>
      <c r="Q20" s="45">
        <f t="shared" si="5"/>
        <v>0</v>
      </c>
      <c r="R20" s="45">
        <f t="shared" si="5"/>
        <v>506350</v>
      </c>
      <c r="S20" s="45">
        <f t="shared" si="5"/>
        <v>506350</v>
      </c>
      <c r="T20" s="45">
        <f t="shared" si="5"/>
        <v>0</v>
      </c>
      <c r="U20" s="45">
        <f t="shared" si="5"/>
        <v>0</v>
      </c>
      <c r="V20" s="45">
        <f t="shared" si="5"/>
        <v>0</v>
      </c>
      <c r="W20" s="45">
        <f t="shared" ref="W20:AS21" si="6">W21</f>
        <v>0</v>
      </c>
      <c r="X20" s="45">
        <f t="shared" si="6"/>
        <v>0</v>
      </c>
      <c r="Y20" s="45">
        <f t="shared" si="6"/>
        <v>0</v>
      </c>
      <c r="Z20" s="45">
        <f t="shared" si="6"/>
        <v>16250</v>
      </c>
      <c r="AA20" s="45">
        <f t="shared" si="6"/>
        <v>0</v>
      </c>
      <c r="AB20" s="45">
        <f t="shared" si="6"/>
        <v>15768.9</v>
      </c>
      <c r="AC20" s="45">
        <f t="shared" si="6"/>
        <v>15768.9</v>
      </c>
      <c r="AD20" s="45">
        <f t="shared" si="6"/>
        <v>0</v>
      </c>
      <c r="AE20" s="45">
        <f t="shared" si="6"/>
        <v>304394</v>
      </c>
      <c r="AF20" s="45">
        <f t="shared" si="6"/>
        <v>0</v>
      </c>
      <c r="AG20" s="45">
        <f t="shared" si="6"/>
        <v>115078.656835</v>
      </c>
      <c r="AH20" s="45">
        <f t="shared" si="6"/>
        <v>115078.656835</v>
      </c>
      <c r="AI20" s="45">
        <f t="shared" si="6"/>
        <v>0</v>
      </c>
      <c r="AJ20" s="45">
        <f t="shared" si="6"/>
        <v>100000</v>
      </c>
      <c r="AK20" s="45">
        <f t="shared" si="6"/>
        <v>0</v>
      </c>
      <c r="AL20" s="45">
        <f t="shared" si="6"/>
        <v>100000</v>
      </c>
      <c r="AM20" s="45">
        <f t="shared" si="6"/>
        <v>100000</v>
      </c>
      <c r="AN20" s="45">
        <f t="shared" si="6"/>
        <v>0</v>
      </c>
      <c r="AO20" s="45">
        <f t="shared" si="6"/>
        <v>85706</v>
      </c>
      <c r="AP20" s="45">
        <f t="shared" si="6"/>
        <v>0</v>
      </c>
      <c r="AQ20" s="45">
        <f t="shared" si="6"/>
        <v>85706</v>
      </c>
      <c r="AR20" s="45">
        <f t="shared" si="6"/>
        <v>85706</v>
      </c>
      <c r="AS20" s="45">
        <f t="shared" si="6"/>
        <v>0</v>
      </c>
      <c r="AT20" s="10"/>
      <c r="AV20" s="35"/>
      <c r="AW20" s="35"/>
      <c r="AX20" s="35"/>
      <c r="AY20" s="35"/>
    </row>
    <row r="21" spans="1:51" ht="67.5" customHeight="1">
      <c r="A21" s="27" t="s">
        <v>96</v>
      </c>
      <c r="B21" s="34" t="s">
        <v>123</v>
      </c>
      <c r="C21" s="29"/>
      <c r="D21" s="30"/>
      <c r="E21" s="30"/>
      <c r="F21" s="50"/>
      <c r="G21" s="46">
        <f>G22</f>
        <v>981028</v>
      </c>
      <c r="H21" s="46">
        <f t="shared" si="5"/>
        <v>275028</v>
      </c>
      <c r="I21" s="46">
        <f t="shared" si="5"/>
        <v>275028</v>
      </c>
      <c r="J21" s="46">
        <f t="shared" si="5"/>
        <v>0</v>
      </c>
      <c r="K21" s="46">
        <f t="shared" si="5"/>
        <v>0</v>
      </c>
      <c r="L21" s="46">
        <f t="shared" si="5"/>
        <v>706000</v>
      </c>
      <c r="M21" s="46">
        <f t="shared" si="5"/>
        <v>506350</v>
      </c>
      <c r="N21" s="46">
        <f t="shared" si="5"/>
        <v>199650</v>
      </c>
      <c r="O21" s="46">
        <f t="shared" si="5"/>
        <v>781378</v>
      </c>
      <c r="P21" s="46">
        <f t="shared" si="5"/>
        <v>275028</v>
      </c>
      <c r="Q21" s="46">
        <f t="shared" si="5"/>
        <v>0</v>
      </c>
      <c r="R21" s="46">
        <f t="shared" si="5"/>
        <v>506350</v>
      </c>
      <c r="S21" s="46">
        <f t="shared" si="5"/>
        <v>506350</v>
      </c>
      <c r="T21" s="46">
        <f t="shared" si="5"/>
        <v>0</v>
      </c>
      <c r="U21" s="46">
        <f t="shared" si="5"/>
        <v>0</v>
      </c>
      <c r="V21" s="46">
        <f t="shared" si="5"/>
        <v>0</v>
      </c>
      <c r="W21" s="46">
        <f t="shared" si="6"/>
        <v>0</v>
      </c>
      <c r="X21" s="46">
        <f t="shared" si="6"/>
        <v>0</v>
      </c>
      <c r="Y21" s="46">
        <f t="shared" si="6"/>
        <v>0</v>
      </c>
      <c r="Z21" s="46">
        <f t="shared" si="6"/>
        <v>16250</v>
      </c>
      <c r="AA21" s="46">
        <f t="shared" si="6"/>
        <v>0</v>
      </c>
      <c r="AB21" s="46">
        <f t="shared" si="6"/>
        <v>15768.9</v>
      </c>
      <c r="AC21" s="46">
        <f t="shared" si="6"/>
        <v>15768.9</v>
      </c>
      <c r="AD21" s="46">
        <f t="shared" si="6"/>
        <v>0</v>
      </c>
      <c r="AE21" s="46">
        <f t="shared" si="6"/>
        <v>304394</v>
      </c>
      <c r="AF21" s="46">
        <f t="shared" si="6"/>
        <v>0</v>
      </c>
      <c r="AG21" s="46">
        <f t="shared" si="6"/>
        <v>115078.656835</v>
      </c>
      <c r="AH21" s="46">
        <f t="shared" si="6"/>
        <v>115078.656835</v>
      </c>
      <c r="AI21" s="46">
        <f t="shared" si="6"/>
        <v>0</v>
      </c>
      <c r="AJ21" s="46">
        <f t="shared" si="6"/>
        <v>100000</v>
      </c>
      <c r="AK21" s="46">
        <f t="shared" si="6"/>
        <v>0</v>
      </c>
      <c r="AL21" s="46">
        <f t="shared" si="6"/>
        <v>100000</v>
      </c>
      <c r="AM21" s="46">
        <f t="shared" si="6"/>
        <v>100000</v>
      </c>
      <c r="AN21" s="46">
        <f t="shared" si="6"/>
        <v>0</v>
      </c>
      <c r="AO21" s="46">
        <f t="shared" si="6"/>
        <v>85706</v>
      </c>
      <c r="AP21" s="46">
        <f t="shared" si="6"/>
        <v>0</v>
      </c>
      <c r="AQ21" s="46">
        <f t="shared" si="6"/>
        <v>85706</v>
      </c>
      <c r="AR21" s="46">
        <f t="shared" si="6"/>
        <v>85706</v>
      </c>
      <c r="AS21" s="46">
        <f t="shared" si="6"/>
        <v>0</v>
      </c>
      <c r="AT21" s="10"/>
      <c r="AV21" s="35"/>
      <c r="AW21" s="35"/>
      <c r="AX21" s="35"/>
      <c r="AY21" s="35"/>
    </row>
    <row r="22" spans="1:51" ht="69.400000000000006">
      <c r="A22" s="38">
        <v>1</v>
      </c>
      <c r="B22" s="39" t="s">
        <v>151</v>
      </c>
      <c r="C22" s="10" t="s">
        <v>369</v>
      </c>
      <c r="D22" s="10"/>
      <c r="E22" s="10"/>
      <c r="F22" s="51" t="s">
        <v>380</v>
      </c>
      <c r="G22" s="43">
        <f>+H22+L22</f>
        <v>981028</v>
      </c>
      <c r="H22" s="43">
        <v>275028</v>
      </c>
      <c r="I22" s="43">
        <v>275028</v>
      </c>
      <c r="J22" s="43"/>
      <c r="K22" s="44"/>
      <c r="L22" s="44">
        <f>+M22+N22</f>
        <v>706000</v>
      </c>
      <c r="M22" s="44">
        <f>465850+40500</f>
        <v>506350</v>
      </c>
      <c r="N22" s="44">
        <v>199650</v>
      </c>
      <c r="O22" s="44">
        <f>P22+S22</f>
        <v>781378</v>
      </c>
      <c r="P22" s="41">
        <v>275028</v>
      </c>
      <c r="Q22" s="41"/>
      <c r="R22" s="44">
        <f>S22+T22</f>
        <v>506350</v>
      </c>
      <c r="S22" s="41">
        <v>506350</v>
      </c>
      <c r="T22" s="41"/>
      <c r="U22" s="41"/>
      <c r="V22" s="41"/>
      <c r="W22" s="41">
        <f>X22+Y22</f>
        <v>0</v>
      </c>
      <c r="X22" s="41"/>
      <c r="Y22" s="41"/>
      <c r="Z22" s="41">
        <v>16250</v>
      </c>
      <c r="AA22" s="41"/>
      <c r="AB22" s="41">
        <f>AC22+AD22</f>
        <v>15768.9</v>
      </c>
      <c r="AC22" s="41">
        <v>15768.9</v>
      </c>
      <c r="AD22" s="41"/>
      <c r="AE22" s="41">
        <v>304394</v>
      </c>
      <c r="AF22" s="41"/>
      <c r="AG22" s="41">
        <f>AH22+AI22</f>
        <v>115078.656835</v>
      </c>
      <c r="AH22" s="41">
        <v>115078.656835</v>
      </c>
      <c r="AI22" s="41"/>
      <c r="AJ22" s="41">
        <v>100000</v>
      </c>
      <c r="AK22" s="10"/>
      <c r="AL22" s="41">
        <v>100000</v>
      </c>
      <c r="AM22" s="41">
        <v>100000</v>
      </c>
      <c r="AN22" s="41"/>
      <c r="AO22" s="41">
        <v>85706</v>
      </c>
      <c r="AP22" s="41"/>
      <c r="AQ22" s="41">
        <v>85706</v>
      </c>
      <c r="AR22" s="41">
        <v>85706</v>
      </c>
      <c r="AS22" s="41"/>
      <c r="AT22" s="10"/>
      <c r="AV22" s="35"/>
      <c r="AW22" s="35">
        <v>1</v>
      </c>
      <c r="AX22" s="35"/>
      <c r="AY22" s="35"/>
    </row>
    <row r="23" spans="1:51">
      <c r="A23" s="27" t="s">
        <v>34</v>
      </c>
      <c r="B23" s="28" t="s">
        <v>167</v>
      </c>
      <c r="C23" s="29"/>
      <c r="D23" s="30"/>
      <c r="E23" s="30"/>
      <c r="F23" s="50"/>
      <c r="G23" s="45">
        <f t="shared" ref="G23:V24" si="7">G24</f>
        <v>224187</v>
      </c>
      <c r="H23" s="45">
        <f t="shared" si="7"/>
        <v>44661</v>
      </c>
      <c r="I23" s="45">
        <f t="shared" si="7"/>
        <v>0</v>
      </c>
      <c r="J23" s="45">
        <f t="shared" si="7"/>
        <v>44661</v>
      </c>
      <c r="K23" s="45">
        <f t="shared" si="7"/>
        <v>0</v>
      </c>
      <c r="L23" s="45">
        <f t="shared" si="7"/>
        <v>179526</v>
      </c>
      <c r="M23" s="45">
        <f t="shared" si="7"/>
        <v>179526</v>
      </c>
      <c r="N23" s="45">
        <f t="shared" si="7"/>
        <v>0</v>
      </c>
      <c r="O23" s="45">
        <f t="shared" si="7"/>
        <v>69182</v>
      </c>
      <c r="P23" s="45">
        <f t="shared" si="7"/>
        <v>0</v>
      </c>
      <c r="Q23" s="45">
        <f t="shared" si="7"/>
        <v>0</v>
      </c>
      <c r="R23" s="45">
        <f t="shared" si="7"/>
        <v>69182</v>
      </c>
      <c r="S23" s="45">
        <f t="shared" si="7"/>
        <v>69182</v>
      </c>
      <c r="T23" s="45">
        <f t="shared" si="7"/>
        <v>0</v>
      </c>
      <c r="U23" s="45">
        <f t="shared" si="7"/>
        <v>55930</v>
      </c>
      <c r="V23" s="45">
        <f t="shared" si="7"/>
        <v>0</v>
      </c>
      <c r="W23" s="45">
        <f t="shared" ref="W23:AS24" si="8">W24</f>
        <v>55929.546999999999</v>
      </c>
      <c r="X23" s="45">
        <f t="shared" si="8"/>
        <v>55929.546999999999</v>
      </c>
      <c r="Y23" s="45">
        <f t="shared" si="8"/>
        <v>0</v>
      </c>
      <c r="Z23" s="45">
        <f t="shared" si="8"/>
        <v>0</v>
      </c>
      <c r="AA23" s="45">
        <f t="shared" si="8"/>
        <v>0</v>
      </c>
      <c r="AB23" s="45">
        <f t="shared" si="8"/>
        <v>0</v>
      </c>
      <c r="AC23" s="45">
        <f t="shared" si="8"/>
        <v>0</v>
      </c>
      <c r="AD23" s="45">
        <f t="shared" si="8"/>
        <v>0</v>
      </c>
      <c r="AE23" s="45">
        <f t="shared" si="8"/>
        <v>0</v>
      </c>
      <c r="AF23" s="45">
        <f t="shared" si="8"/>
        <v>0</v>
      </c>
      <c r="AG23" s="45">
        <f t="shared" si="8"/>
        <v>0</v>
      </c>
      <c r="AH23" s="45">
        <f t="shared" si="8"/>
        <v>0</v>
      </c>
      <c r="AI23" s="45">
        <f t="shared" si="8"/>
        <v>0</v>
      </c>
      <c r="AJ23" s="45">
        <f t="shared" si="8"/>
        <v>0</v>
      </c>
      <c r="AK23" s="45">
        <f t="shared" si="8"/>
        <v>0</v>
      </c>
      <c r="AL23" s="45">
        <f t="shared" si="8"/>
        <v>0</v>
      </c>
      <c r="AM23" s="45">
        <f t="shared" si="8"/>
        <v>0</v>
      </c>
      <c r="AN23" s="45">
        <f t="shared" si="8"/>
        <v>0</v>
      </c>
      <c r="AO23" s="45">
        <f t="shared" si="8"/>
        <v>0</v>
      </c>
      <c r="AP23" s="45">
        <f t="shared" si="8"/>
        <v>0</v>
      </c>
      <c r="AQ23" s="45">
        <f t="shared" si="8"/>
        <v>0</v>
      </c>
      <c r="AR23" s="45">
        <f t="shared" si="8"/>
        <v>0</v>
      </c>
      <c r="AS23" s="45">
        <f t="shared" si="8"/>
        <v>0</v>
      </c>
      <c r="AT23" s="10"/>
      <c r="AV23" s="35"/>
      <c r="AW23" s="35"/>
      <c r="AX23" s="35"/>
      <c r="AY23" s="35"/>
    </row>
    <row r="24" spans="1:51" ht="40.5">
      <c r="A24" s="31" t="s">
        <v>120</v>
      </c>
      <c r="B24" s="33" t="s">
        <v>35</v>
      </c>
      <c r="C24" s="29"/>
      <c r="D24" s="30"/>
      <c r="E24" s="30"/>
      <c r="F24" s="50"/>
      <c r="G24" s="45">
        <f>G25</f>
        <v>224187</v>
      </c>
      <c r="H24" s="45">
        <f t="shared" si="7"/>
        <v>44661</v>
      </c>
      <c r="I24" s="45">
        <f t="shared" si="7"/>
        <v>0</v>
      </c>
      <c r="J24" s="45">
        <f t="shared" si="7"/>
        <v>44661</v>
      </c>
      <c r="K24" s="45">
        <f t="shared" si="7"/>
        <v>0</v>
      </c>
      <c r="L24" s="45">
        <f t="shared" si="7"/>
        <v>179526</v>
      </c>
      <c r="M24" s="45">
        <f t="shared" si="7"/>
        <v>179526</v>
      </c>
      <c r="N24" s="45">
        <f t="shared" si="7"/>
        <v>0</v>
      </c>
      <c r="O24" s="45">
        <f t="shared" si="7"/>
        <v>69182</v>
      </c>
      <c r="P24" s="45">
        <f t="shared" si="7"/>
        <v>0</v>
      </c>
      <c r="Q24" s="45">
        <f t="shared" si="7"/>
        <v>0</v>
      </c>
      <c r="R24" s="45">
        <f t="shared" si="7"/>
        <v>69182</v>
      </c>
      <c r="S24" s="45">
        <f t="shared" si="7"/>
        <v>69182</v>
      </c>
      <c r="T24" s="45">
        <f t="shared" si="7"/>
        <v>0</v>
      </c>
      <c r="U24" s="45">
        <f t="shared" si="7"/>
        <v>55930</v>
      </c>
      <c r="V24" s="45">
        <f t="shared" si="7"/>
        <v>0</v>
      </c>
      <c r="W24" s="45">
        <f t="shared" si="8"/>
        <v>55929.546999999999</v>
      </c>
      <c r="X24" s="45">
        <f t="shared" si="8"/>
        <v>55929.546999999999</v>
      </c>
      <c r="Y24" s="45">
        <f t="shared" si="8"/>
        <v>0</v>
      </c>
      <c r="Z24" s="45">
        <f t="shared" si="8"/>
        <v>0</v>
      </c>
      <c r="AA24" s="45">
        <f t="shared" si="8"/>
        <v>0</v>
      </c>
      <c r="AB24" s="45">
        <f t="shared" si="8"/>
        <v>0</v>
      </c>
      <c r="AC24" s="45">
        <f t="shared" si="8"/>
        <v>0</v>
      </c>
      <c r="AD24" s="45">
        <f t="shared" si="8"/>
        <v>0</v>
      </c>
      <c r="AE24" s="45">
        <f t="shared" si="8"/>
        <v>0</v>
      </c>
      <c r="AF24" s="45">
        <f t="shared" si="8"/>
        <v>0</v>
      </c>
      <c r="AG24" s="45">
        <f t="shared" si="8"/>
        <v>0</v>
      </c>
      <c r="AH24" s="45">
        <f t="shared" si="8"/>
        <v>0</v>
      </c>
      <c r="AI24" s="45">
        <f t="shared" si="8"/>
        <v>0</v>
      </c>
      <c r="AJ24" s="45">
        <f t="shared" si="8"/>
        <v>0</v>
      </c>
      <c r="AK24" s="45">
        <f t="shared" si="8"/>
        <v>0</v>
      </c>
      <c r="AL24" s="45">
        <f t="shared" si="8"/>
        <v>0</v>
      </c>
      <c r="AM24" s="45">
        <f t="shared" si="8"/>
        <v>0</v>
      </c>
      <c r="AN24" s="45">
        <f t="shared" si="8"/>
        <v>0</v>
      </c>
      <c r="AO24" s="45">
        <f t="shared" si="8"/>
        <v>0</v>
      </c>
      <c r="AP24" s="45">
        <f t="shared" si="8"/>
        <v>0</v>
      </c>
      <c r="AQ24" s="45">
        <f t="shared" si="8"/>
        <v>0</v>
      </c>
      <c r="AR24" s="45">
        <f t="shared" si="8"/>
        <v>0</v>
      </c>
      <c r="AS24" s="45">
        <f t="shared" si="8"/>
        <v>0</v>
      </c>
      <c r="AT24" s="10"/>
      <c r="AV24" s="35"/>
      <c r="AW24" s="35"/>
      <c r="AX24" s="35"/>
      <c r="AY24" s="35"/>
    </row>
    <row r="25" spans="1:51" ht="78.75">
      <c r="A25" s="35">
        <v>1</v>
      </c>
      <c r="B25" s="39" t="s">
        <v>370</v>
      </c>
      <c r="C25" s="10" t="s">
        <v>371</v>
      </c>
      <c r="D25" s="37">
        <v>41968</v>
      </c>
      <c r="E25" s="37">
        <v>44377</v>
      </c>
      <c r="F25" s="52" t="s">
        <v>381</v>
      </c>
      <c r="G25" s="12">
        <f>+H25+L25</f>
        <v>224187</v>
      </c>
      <c r="H25" s="41">
        <f>+J25</f>
        <v>44661</v>
      </c>
      <c r="I25" s="47"/>
      <c r="J25" s="41">
        <v>44661</v>
      </c>
      <c r="K25" s="42"/>
      <c r="L25" s="41">
        <f>+M25+N25</f>
        <v>179526</v>
      </c>
      <c r="M25" s="41">
        <v>179526</v>
      </c>
      <c r="N25" s="41"/>
      <c r="O25" s="44">
        <f>P25+S25</f>
        <v>69182</v>
      </c>
      <c r="P25" s="41"/>
      <c r="Q25" s="41"/>
      <c r="R25" s="44">
        <f>+S25</f>
        <v>69182</v>
      </c>
      <c r="S25" s="41">
        <v>69182</v>
      </c>
      <c r="T25" s="41"/>
      <c r="U25" s="41">
        <v>55930</v>
      </c>
      <c r="V25" s="41"/>
      <c r="W25" s="41">
        <f>X25+Y25</f>
        <v>55929.546999999999</v>
      </c>
      <c r="X25" s="41">
        <v>55929.546999999999</v>
      </c>
      <c r="Y25" s="41"/>
      <c r="Z25" s="41"/>
      <c r="AA25" s="41"/>
      <c r="AB25" s="41">
        <f>AC25+AD25</f>
        <v>0</v>
      </c>
      <c r="AC25" s="41"/>
      <c r="AD25" s="41"/>
      <c r="AE25" s="41"/>
      <c r="AF25" s="41"/>
      <c r="AG25" s="41"/>
      <c r="AH25" s="41"/>
      <c r="AI25" s="41"/>
      <c r="AJ25" s="41"/>
      <c r="AK25" s="10"/>
      <c r="AL25" s="41"/>
      <c r="AM25" s="41"/>
      <c r="AN25" s="41"/>
      <c r="AO25" s="41"/>
      <c r="AP25" s="41"/>
      <c r="AQ25" s="41"/>
      <c r="AR25" s="41"/>
      <c r="AS25" s="41"/>
      <c r="AT25" s="10"/>
      <c r="AV25" s="35">
        <v>1</v>
      </c>
      <c r="AW25" s="35"/>
      <c r="AX25" s="35"/>
      <c r="AY25" s="35"/>
    </row>
    <row r="26" spans="1:51" ht="27">
      <c r="A26" s="27" t="s">
        <v>66</v>
      </c>
      <c r="B26" s="28" t="s">
        <v>372</v>
      </c>
      <c r="C26" s="29"/>
      <c r="D26" s="30"/>
      <c r="E26" s="30"/>
      <c r="F26" s="50"/>
      <c r="G26" s="45">
        <f t="shared" ref="G26:V27" si="9">G27</f>
        <v>732065</v>
      </c>
      <c r="H26" s="45">
        <f t="shared" si="9"/>
        <v>130524</v>
      </c>
      <c r="I26" s="45">
        <f t="shared" si="9"/>
        <v>108118</v>
      </c>
      <c r="J26" s="45">
        <f t="shared" si="9"/>
        <v>22406</v>
      </c>
      <c r="K26" s="45">
        <f t="shared" si="9"/>
        <v>0</v>
      </c>
      <c r="L26" s="45">
        <f t="shared" si="9"/>
        <v>601541</v>
      </c>
      <c r="M26" s="45">
        <f t="shared" si="9"/>
        <v>559433</v>
      </c>
      <c r="N26" s="45">
        <f t="shared" si="9"/>
        <v>42108</v>
      </c>
      <c r="O26" s="45">
        <f t="shared" si="9"/>
        <v>262829</v>
      </c>
      <c r="P26" s="45">
        <f t="shared" si="9"/>
        <v>69104</v>
      </c>
      <c r="Q26" s="45">
        <f t="shared" si="9"/>
        <v>0</v>
      </c>
      <c r="R26" s="45">
        <f t="shared" si="9"/>
        <v>193725</v>
      </c>
      <c r="S26" s="45">
        <f t="shared" si="9"/>
        <v>193725</v>
      </c>
      <c r="T26" s="45">
        <f t="shared" si="9"/>
        <v>0</v>
      </c>
      <c r="U26" s="45">
        <f t="shared" si="9"/>
        <v>93396</v>
      </c>
      <c r="V26" s="45">
        <f t="shared" si="9"/>
        <v>3004.1660000000002</v>
      </c>
      <c r="W26" s="45">
        <f t="shared" ref="W26:AS27" si="10">W27</f>
        <v>93395.999599000002</v>
      </c>
      <c r="X26" s="45">
        <f t="shared" si="10"/>
        <v>90391.833599000005</v>
      </c>
      <c r="Y26" s="45">
        <f t="shared" si="10"/>
        <v>3004.1660000000002</v>
      </c>
      <c r="Z26" s="45">
        <f t="shared" si="10"/>
        <v>56210</v>
      </c>
      <c r="AA26" s="45">
        <f t="shared" si="10"/>
        <v>0</v>
      </c>
      <c r="AB26" s="45">
        <f t="shared" si="10"/>
        <v>55710.633150000001</v>
      </c>
      <c r="AC26" s="45">
        <f t="shared" si="10"/>
        <v>55710.633150000001</v>
      </c>
      <c r="AD26" s="45">
        <f t="shared" si="10"/>
        <v>0</v>
      </c>
      <c r="AE26" s="45">
        <f t="shared" si="10"/>
        <v>0</v>
      </c>
      <c r="AF26" s="45">
        <f t="shared" si="10"/>
        <v>0</v>
      </c>
      <c r="AG26" s="45">
        <f t="shared" si="10"/>
        <v>0</v>
      </c>
      <c r="AH26" s="45">
        <f t="shared" si="10"/>
        <v>0</v>
      </c>
      <c r="AI26" s="45">
        <f t="shared" si="10"/>
        <v>0</v>
      </c>
      <c r="AJ26" s="45">
        <f t="shared" si="10"/>
        <v>0</v>
      </c>
      <c r="AK26" s="45">
        <f t="shared" si="10"/>
        <v>0</v>
      </c>
      <c r="AL26" s="45">
        <f t="shared" si="10"/>
        <v>0</v>
      </c>
      <c r="AM26" s="45">
        <f t="shared" si="10"/>
        <v>0</v>
      </c>
      <c r="AN26" s="45">
        <f t="shared" si="10"/>
        <v>0</v>
      </c>
      <c r="AO26" s="45">
        <f t="shared" si="10"/>
        <v>0</v>
      </c>
      <c r="AP26" s="45">
        <f t="shared" si="10"/>
        <v>0</v>
      </c>
      <c r="AQ26" s="45">
        <f t="shared" si="10"/>
        <v>0</v>
      </c>
      <c r="AR26" s="45">
        <f t="shared" si="10"/>
        <v>0</v>
      </c>
      <c r="AS26" s="45">
        <f t="shared" si="10"/>
        <v>0</v>
      </c>
      <c r="AT26" s="10"/>
      <c r="AV26" s="35"/>
      <c r="AW26" s="35"/>
      <c r="AX26" s="35"/>
      <c r="AY26" s="35"/>
    </row>
    <row r="27" spans="1:51" ht="40.5">
      <c r="A27" s="31" t="s">
        <v>120</v>
      </c>
      <c r="B27" s="33" t="s">
        <v>35</v>
      </c>
      <c r="C27" s="29"/>
      <c r="D27" s="30"/>
      <c r="E27" s="30"/>
      <c r="F27" s="50"/>
      <c r="G27" s="45">
        <f>G28</f>
        <v>732065</v>
      </c>
      <c r="H27" s="45">
        <f t="shared" si="9"/>
        <v>130524</v>
      </c>
      <c r="I27" s="45">
        <f t="shared" si="9"/>
        <v>108118</v>
      </c>
      <c r="J27" s="45">
        <f t="shared" si="9"/>
        <v>22406</v>
      </c>
      <c r="K27" s="45">
        <f t="shared" si="9"/>
        <v>0</v>
      </c>
      <c r="L27" s="45">
        <f t="shared" si="9"/>
        <v>601541</v>
      </c>
      <c r="M27" s="45">
        <f t="shared" si="9"/>
        <v>559433</v>
      </c>
      <c r="N27" s="45">
        <f t="shared" si="9"/>
        <v>42108</v>
      </c>
      <c r="O27" s="45">
        <f t="shared" si="9"/>
        <v>262829</v>
      </c>
      <c r="P27" s="45">
        <f t="shared" si="9"/>
        <v>69104</v>
      </c>
      <c r="Q27" s="45">
        <f t="shared" si="9"/>
        <v>0</v>
      </c>
      <c r="R27" s="45">
        <f t="shared" si="9"/>
        <v>193725</v>
      </c>
      <c r="S27" s="45">
        <f t="shared" si="9"/>
        <v>193725</v>
      </c>
      <c r="T27" s="45">
        <f t="shared" si="9"/>
        <v>0</v>
      </c>
      <c r="U27" s="45">
        <f t="shared" si="9"/>
        <v>93396</v>
      </c>
      <c r="V27" s="45">
        <f t="shared" si="9"/>
        <v>3004.1660000000002</v>
      </c>
      <c r="W27" s="45">
        <f t="shared" si="10"/>
        <v>93395.999599000002</v>
      </c>
      <c r="X27" s="45">
        <f t="shared" si="10"/>
        <v>90391.833599000005</v>
      </c>
      <c r="Y27" s="45">
        <f t="shared" si="10"/>
        <v>3004.1660000000002</v>
      </c>
      <c r="Z27" s="45">
        <f t="shared" si="10"/>
        <v>56210</v>
      </c>
      <c r="AA27" s="45">
        <f t="shared" si="10"/>
        <v>0</v>
      </c>
      <c r="AB27" s="45">
        <f t="shared" si="10"/>
        <v>55710.633150000001</v>
      </c>
      <c r="AC27" s="45">
        <f t="shared" si="10"/>
        <v>55710.633150000001</v>
      </c>
      <c r="AD27" s="45">
        <f t="shared" si="10"/>
        <v>0</v>
      </c>
      <c r="AE27" s="45">
        <f t="shared" si="10"/>
        <v>0</v>
      </c>
      <c r="AF27" s="45">
        <f t="shared" si="10"/>
        <v>0</v>
      </c>
      <c r="AG27" s="45">
        <f t="shared" si="10"/>
        <v>0</v>
      </c>
      <c r="AH27" s="45">
        <f t="shared" si="10"/>
        <v>0</v>
      </c>
      <c r="AI27" s="45">
        <f t="shared" si="10"/>
        <v>0</v>
      </c>
      <c r="AJ27" s="45">
        <f t="shared" si="10"/>
        <v>0</v>
      </c>
      <c r="AK27" s="45">
        <f t="shared" si="10"/>
        <v>0</v>
      </c>
      <c r="AL27" s="45">
        <f t="shared" si="10"/>
        <v>0</v>
      </c>
      <c r="AM27" s="45">
        <f t="shared" si="10"/>
        <v>0</v>
      </c>
      <c r="AN27" s="45">
        <f t="shared" si="10"/>
        <v>0</v>
      </c>
      <c r="AO27" s="45">
        <f t="shared" si="10"/>
        <v>0</v>
      </c>
      <c r="AP27" s="45">
        <f t="shared" si="10"/>
        <v>0</v>
      </c>
      <c r="AQ27" s="45">
        <f t="shared" si="10"/>
        <v>0</v>
      </c>
      <c r="AR27" s="45">
        <f t="shared" si="10"/>
        <v>0</v>
      </c>
      <c r="AS27" s="45">
        <f t="shared" si="10"/>
        <v>0</v>
      </c>
      <c r="AT27" s="10"/>
      <c r="AV27" s="35"/>
      <c r="AW27" s="35"/>
      <c r="AX27" s="35"/>
      <c r="AY27" s="35"/>
    </row>
    <row r="28" spans="1:51" ht="65.650000000000006">
      <c r="A28" s="38">
        <v>1</v>
      </c>
      <c r="B28" s="39" t="s">
        <v>201</v>
      </c>
      <c r="C28" s="10" t="s">
        <v>368</v>
      </c>
      <c r="D28" s="37">
        <v>41837</v>
      </c>
      <c r="E28" s="10"/>
      <c r="F28" s="52" t="s">
        <v>382</v>
      </c>
      <c r="G28" s="12">
        <f>+H28+L28</f>
        <v>732065</v>
      </c>
      <c r="H28" s="41">
        <f>I28+J28</f>
        <v>130524</v>
      </c>
      <c r="I28" s="41">
        <v>108118</v>
      </c>
      <c r="J28" s="41">
        <v>22406</v>
      </c>
      <c r="K28" s="42"/>
      <c r="L28" s="41">
        <f>+M28+N28</f>
        <v>601541</v>
      </c>
      <c r="M28" s="41">
        <v>559433</v>
      </c>
      <c r="N28" s="41">
        <v>42108</v>
      </c>
      <c r="O28" s="44">
        <f>P28+S28</f>
        <v>262829</v>
      </c>
      <c r="P28" s="41">
        <v>69104</v>
      </c>
      <c r="Q28" s="41"/>
      <c r="R28" s="44">
        <f>+S28+T28</f>
        <v>193725</v>
      </c>
      <c r="S28" s="41">
        <v>193725</v>
      </c>
      <c r="T28" s="41"/>
      <c r="U28" s="41">
        <v>93396</v>
      </c>
      <c r="V28" s="41">
        <v>3004.1660000000002</v>
      </c>
      <c r="W28" s="41">
        <f>X28+Y28</f>
        <v>93395.999599000002</v>
      </c>
      <c r="X28" s="41">
        <v>90391.833599000005</v>
      </c>
      <c r="Y28" s="41">
        <v>3004.1660000000002</v>
      </c>
      <c r="Z28" s="41">
        <v>56210</v>
      </c>
      <c r="AA28" s="41"/>
      <c r="AB28" s="41">
        <f>AC28+AD28</f>
        <v>55710.633150000001</v>
      </c>
      <c r="AC28" s="41">
        <v>55710.633150000001</v>
      </c>
      <c r="AD28" s="41"/>
      <c r="AE28" s="41"/>
      <c r="AF28" s="41"/>
      <c r="AG28" s="41"/>
      <c r="AH28" s="41"/>
      <c r="AI28" s="41"/>
      <c r="AJ28" s="41"/>
      <c r="AK28" s="10"/>
      <c r="AL28" s="41"/>
      <c r="AM28" s="41"/>
      <c r="AN28" s="41"/>
      <c r="AO28" s="41"/>
      <c r="AP28" s="41"/>
      <c r="AQ28" s="41"/>
      <c r="AR28" s="41"/>
      <c r="AS28" s="41"/>
      <c r="AT28" s="10"/>
      <c r="AV28" s="35">
        <v>1</v>
      </c>
      <c r="AW28" s="35"/>
      <c r="AX28" s="35"/>
      <c r="AY28" s="35"/>
    </row>
    <row r="29" spans="1:51" ht="40.5">
      <c r="A29" s="27" t="s">
        <v>131</v>
      </c>
      <c r="B29" s="56" t="s">
        <v>373</v>
      </c>
      <c r="C29" s="27"/>
      <c r="D29" s="57"/>
      <c r="E29" s="27"/>
      <c r="F29" s="58"/>
      <c r="G29" s="11">
        <f>G30</f>
        <v>1480000</v>
      </c>
      <c r="H29" s="11">
        <f t="shared" ref="H29:AS31" si="11">H30</f>
        <v>340720</v>
      </c>
      <c r="I29" s="11">
        <f t="shared" si="11"/>
        <v>0</v>
      </c>
      <c r="J29" s="11">
        <f t="shared" si="11"/>
        <v>340720</v>
      </c>
      <c r="K29" s="11">
        <f t="shared" si="11"/>
        <v>0</v>
      </c>
      <c r="L29" s="11">
        <f t="shared" si="11"/>
        <v>1139280</v>
      </c>
      <c r="M29" s="11">
        <f t="shared" si="11"/>
        <v>1025352</v>
      </c>
      <c r="N29" s="11">
        <f t="shared" si="11"/>
        <v>113928</v>
      </c>
      <c r="O29" s="11">
        <f t="shared" si="11"/>
        <v>512676</v>
      </c>
      <c r="P29" s="11">
        <f t="shared" si="11"/>
        <v>0</v>
      </c>
      <c r="Q29" s="11">
        <f t="shared" si="11"/>
        <v>0</v>
      </c>
      <c r="R29" s="11">
        <f t="shared" si="11"/>
        <v>512676</v>
      </c>
      <c r="S29" s="11">
        <f t="shared" si="11"/>
        <v>512676</v>
      </c>
      <c r="T29" s="11">
        <f t="shared" si="11"/>
        <v>0</v>
      </c>
      <c r="U29" s="11">
        <f t="shared" si="11"/>
        <v>0</v>
      </c>
      <c r="V29" s="11">
        <f t="shared" si="11"/>
        <v>0</v>
      </c>
      <c r="W29" s="11">
        <f t="shared" si="11"/>
        <v>0</v>
      </c>
      <c r="X29" s="11">
        <f t="shared" si="11"/>
        <v>0</v>
      </c>
      <c r="Y29" s="11">
        <f t="shared" si="11"/>
        <v>0</v>
      </c>
      <c r="Z29" s="11">
        <f t="shared" si="11"/>
        <v>0</v>
      </c>
      <c r="AA29" s="11">
        <f t="shared" si="11"/>
        <v>0</v>
      </c>
      <c r="AB29" s="11">
        <f t="shared" si="11"/>
        <v>0</v>
      </c>
      <c r="AC29" s="11">
        <f t="shared" si="11"/>
        <v>0</v>
      </c>
      <c r="AD29" s="11">
        <f t="shared" si="11"/>
        <v>0</v>
      </c>
      <c r="AE29" s="11">
        <f t="shared" si="11"/>
        <v>0</v>
      </c>
      <c r="AF29" s="11">
        <f t="shared" si="11"/>
        <v>0</v>
      </c>
      <c r="AG29" s="11">
        <f t="shared" si="11"/>
        <v>0</v>
      </c>
      <c r="AH29" s="11">
        <f t="shared" si="11"/>
        <v>0</v>
      </c>
      <c r="AI29" s="11">
        <f t="shared" si="11"/>
        <v>0</v>
      </c>
      <c r="AJ29" s="11">
        <f t="shared" si="11"/>
        <v>0</v>
      </c>
      <c r="AK29" s="11">
        <f t="shared" si="11"/>
        <v>0</v>
      </c>
      <c r="AL29" s="11">
        <f t="shared" si="11"/>
        <v>0</v>
      </c>
      <c r="AM29" s="11">
        <f t="shared" si="11"/>
        <v>0</v>
      </c>
      <c r="AN29" s="11">
        <f t="shared" si="11"/>
        <v>0</v>
      </c>
      <c r="AO29" s="11">
        <f t="shared" si="11"/>
        <v>0</v>
      </c>
      <c r="AP29" s="11">
        <f t="shared" si="11"/>
        <v>0</v>
      </c>
      <c r="AQ29" s="11">
        <f t="shared" si="11"/>
        <v>0</v>
      </c>
      <c r="AR29" s="11">
        <f t="shared" si="11"/>
        <v>0</v>
      </c>
      <c r="AS29" s="11">
        <f t="shared" si="11"/>
        <v>0</v>
      </c>
      <c r="AT29" s="10"/>
      <c r="AV29" s="35"/>
      <c r="AW29" s="35"/>
      <c r="AX29" s="35"/>
      <c r="AY29" s="35"/>
    </row>
    <row r="30" spans="1:51" ht="27">
      <c r="A30" s="31" t="s">
        <v>120</v>
      </c>
      <c r="B30" s="56" t="s">
        <v>36</v>
      </c>
      <c r="C30" s="27"/>
      <c r="D30" s="57"/>
      <c r="E30" s="27"/>
      <c r="F30" s="58"/>
      <c r="G30" s="11">
        <f>G31</f>
        <v>1480000</v>
      </c>
      <c r="H30" s="11">
        <f t="shared" si="11"/>
        <v>340720</v>
      </c>
      <c r="I30" s="11">
        <f t="shared" si="11"/>
        <v>0</v>
      </c>
      <c r="J30" s="11">
        <f t="shared" si="11"/>
        <v>340720</v>
      </c>
      <c r="K30" s="11">
        <f t="shared" si="11"/>
        <v>0</v>
      </c>
      <c r="L30" s="11">
        <f t="shared" si="11"/>
        <v>1139280</v>
      </c>
      <c r="M30" s="11">
        <f t="shared" si="11"/>
        <v>1025352</v>
      </c>
      <c r="N30" s="11">
        <f t="shared" si="11"/>
        <v>113928</v>
      </c>
      <c r="O30" s="11">
        <f t="shared" si="11"/>
        <v>512676</v>
      </c>
      <c r="P30" s="11">
        <f t="shared" si="11"/>
        <v>0</v>
      </c>
      <c r="Q30" s="11">
        <f t="shared" si="11"/>
        <v>0</v>
      </c>
      <c r="R30" s="11">
        <f t="shared" si="11"/>
        <v>512676</v>
      </c>
      <c r="S30" s="11">
        <f t="shared" si="11"/>
        <v>512676</v>
      </c>
      <c r="T30" s="11">
        <f t="shared" si="11"/>
        <v>0</v>
      </c>
      <c r="U30" s="11">
        <f t="shared" si="11"/>
        <v>0</v>
      </c>
      <c r="V30" s="11">
        <f t="shared" si="11"/>
        <v>0</v>
      </c>
      <c r="W30" s="11">
        <f t="shared" si="11"/>
        <v>0</v>
      </c>
      <c r="X30" s="11">
        <f t="shared" si="11"/>
        <v>0</v>
      </c>
      <c r="Y30" s="11">
        <f t="shared" si="11"/>
        <v>0</v>
      </c>
      <c r="Z30" s="11">
        <f t="shared" si="11"/>
        <v>0</v>
      </c>
      <c r="AA30" s="11">
        <f t="shared" si="11"/>
        <v>0</v>
      </c>
      <c r="AB30" s="11">
        <f t="shared" si="11"/>
        <v>0</v>
      </c>
      <c r="AC30" s="11">
        <f t="shared" si="11"/>
        <v>0</v>
      </c>
      <c r="AD30" s="11">
        <f t="shared" si="11"/>
        <v>0</v>
      </c>
      <c r="AE30" s="11">
        <f t="shared" si="11"/>
        <v>0</v>
      </c>
      <c r="AF30" s="11">
        <f t="shared" si="11"/>
        <v>0</v>
      </c>
      <c r="AG30" s="11">
        <f t="shared" si="11"/>
        <v>0</v>
      </c>
      <c r="AH30" s="11">
        <f t="shared" si="11"/>
        <v>0</v>
      </c>
      <c r="AI30" s="11">
        <f t="shared" si="11"/>
        <v>0</v>
      </c>
      <c r="AJ30" s="11">
        <f t="shared" si="11"/>
        <v>0</v>
      </c>
      <c r="AK30" s="11">
        <f t="shared" si="11"/>
        <v>0</v>
      </c>
      <c r="AL30" s="11">
        <f t="shared" si="11"/>
        <v>0</v>
      </c>
      <c r="AM30" s="11">
        <f t="shared" si="11"/>
        <v>0</v>
      </c>
      <c r="AN30" s="11">
        <f t="shared" si="11"/>
        <v>0</v>
      </c>
      <c r="AO30" s="11">
        <f t="shared" si="11"/>
        <v>0</v>
      </c>
      <c r="AP30" s="11">
        <f t="shared" si="11"/>
        <v>0</v>
      </c>
      <c r="AQ30" s="11">
        <f t="shared" si="11"/>
        <v>0</v>
      </c>
      <c r="AR30" s="11">
        <f t="shared" si="11"/>
        <v>0</v>
      </c>
      <c r="AS30" s="11">
        <f t="shared" si="11"/>
        <v>0</v>
      </c>
      <c r="AT30" s="10"/>
      <c r="AV30" s="35"/>
      <c r="AW30" s="35"/>
      <c r="AX30" s="35"/>
      <c r="AY30" s="35"/>
    </row>
    <row r="31" spans="1:51" ht="27">
      <c r="A31" s="59" t="s">
        <v>96</v>
      </c>
      <c r="B31" s="60" t="s">
        <v>98</v>
      </c>
      <c r="C31" s="61"/>
      <c r="D31" s="62"/>
      <c r="E31" s="61"/>
      <c r="F31" s="63"/>
      <c r="G31" s="64">
        <f>G32</f>
        <v>1480000</v>
      </c>
      <c r="H31" s="64">
        <f t="shared" si="11"/>
        <v>340720</v>
      </c>
      <c r="I31" s="64">
        <f t="shared" si="11"/>
        <v>0</v>
      </c>
      <c r="J31" s="64">
        <f t="shared" si="11"/>
        <v>340720</v>
      </c>
      <c r="K31" s="64">
        <f t="shared" si="11"/>
        <v>0</v>
      </c>
      <c r="L31" s="64">
        <f t="shared" si="11"/>
        <v>1139280</v>
      </c>
      <c r="M31" s="64">
        <f t="shared" si="11"/>
        <v>1025352</v>
      </c>
      <c r="N31" s="64">
        <f t="shared" si="11"/>
        <v>113928</v>
      </c>
      <c r="O31" s="64">
        <f t="shared" si="11"/>
        <v>512676</v>
      </c>
      <c r="P31" s="64">
        <f t="shared" si="11"/>
        <v>0</v>
      </c>
      <c r="Q31" s="64">
        <f t="shared" si="11"/>
        <v>0</v>
      </c>
      <c r="R31" s="64">
        <f t="shared" si="11"/>
        <v>512676</v>
      </c>
      <c r="S31" s="64">
        <f t="shared" si="11"/>
        <v>512676</v>
      </c>
      <c r="T31" s="64">
        <f t="shared" si="11"/>
        <v>0</v>
      </c>
      <c r="U31" s="64">
        <f t="shared" si="11"/>
        <v>0</v>
      </c>
      <c r="V31" s="64">
        <f t="shared" si="11"/>
        <v>0</v>
      </c>
      <c r="W31" s="64">
        <f t="shared" si="11"/>
        <v>0</v>
      </c>
      <c r="X31" s="64">
        <f t="shared" si="11"/>
        <v>0</v>
      </c>
      <c r="Y31" s="64">
        <f t="shared" si="11"/>
        <v>0</v>
      </c>
      <c r="Z31" s="64">
        <f t="shared" si="11"/>
        <v>0</v>
      </c>
      <c r="AA31" s="64">
        <f t="shared" si="11"/>
        <v>0</v>
      </c>
      <c r="AB31" s="64">
        <f t="shared" si="11"/>
        <v>0</v>
      </c>
      <c r="AC31" s="64">
        <f t="shared" si="11"/>
        <v>0</v>
      </c>
      <c r="AD31" s="64">
        <f t="shared" si="11"/>
        <v>0</v>
      </c>
      <c r="AE31" s="64">
        <f t="shared" si="11"/>
        <v>0</v>
      </c>
      <c r="AF31" s="64">
        <f t="shared" si="11"/>
        <v>0</v>
      </c>
      <c r="AG31" s="64">
        <f t="shared" si="11"/>
        <v>0</v>
      </c>
      <c r="AH31" s="64">
        <f t="shared" si="11"/>
        <v>0</v>
      </c>
      <c r="AI31" s="64">
        <f t="shared" si="11"/>
        <v>0</v>
      </c>
      <c r="AJ31" s="64">
        <f t="shared" si="11"/>
        <v>0</v>
      </c>
      <c r="AK31" s="64">
        <f t="shared" si="11"/>
        <v>0</v>
      </c>
      <c r="AL31" s="64">
        <f t="shared" si="11"/>
        <v>0</v>
      </c>
      <c r="AM31" s="64">
        <f t="shared" si="11"/>
        <v>0</v>
      </c>
      <c r="AN31" s="64">
        <f t="shared" si="11"/>
        <v>0</v>
      </c>
      <c r="AO31" s="64">
        <f t="shared" si="11"/>
        <v>0</v>
      </c>
      <c r="AP31" s="64">
        <f t="shared" si="11"/>
        <v>0</v>
      </c>
      <c r="AQ31" s="64">
        <f t="shared" si="11"/>
        <v>0</v>
      </c>
      <c r="AR31" s="64">
        <f t="shared" si="11"/>
        <v>0</v>
      </c>
      <c r="AS31" s="64">
        <f t="shared" si="11"/>
        <v>0</v>
      </c>
      <c r="AT31" s="10"/>
      <c r="AV31" s="35"/>
      <c r="AW31" s="35"/>
      <c r="AX31" s="35"/>
      <c r="AY31" s="35"/>
    </row>
    <row r="32" spans="1:51" ht="41.65">
      <c r="A32" s="38">
        <v>1</v>
      </c>
      <c r="B32" s="39" t="s">
        <v>374</v>
      </c>
      <c r="C32" s="10" t="s">
        <v>375</v>
      </c>
      <c r="D32" s="37"/>
      <c r="E32" s="10"/>
      <c r="F32" s="52" t="s">
        <v>383</v>
      </c>
      <c r="G32" s="12">
        <v>1480000</v>
      </c>
      <c r="H32" s="41">
        <v>340720</v>
      </c>
      <c r="I32" s="41"/>
      <c r="J32" s="41">
        <v>340720</v>
      </c>
      <c r="K32" s="42"/>
      <c r="L32" s="41">
        <v>1139280</v>
      </c>
      <c r="M32" s="41">
        <v>1025352</v>
      </c>
      <c r="N32" s="41">
        <v>113928</v>
      </c>
      <c r="O32" s="44">
        <v>512676</v>
      </c>
      <c r="P32" s="41"/>
      <c r="Q32" s="41"/>
      <c r="R32" s="44">
        <v>512676</v>
      </c>
      <c r="S32" s="41">
        <v>512676</v>
      </c>
      <c r="T32" s="41"/>
      <c r="U32" s="41"/>
      <c r="V32" s="41"/>
      <c r="W32" s="41"/>
      <c r="X32" s="41"/>
      <c r="Y32" s="41"/>
      <c r="Z32" s="41"/>
      <c r="AA32" s="41"/>
      <c r="AB32" s="41"/>
      <c r="AC32" s="41"/>
      <c r="AD32" s="41"/>
      <c r="AE32" s="41"/>
      <c r="AF32" s="41"/>
      <c r="AG32" s="41"/>
      <c r="AH32" s="41"/>
      <c r="AI32" s="41"/>
      <c r="AJ32" s="41"/>
      <c r="AK32" s="10"/>
      <c r="AL32" s="41"/>
      <c r="AM32" s="41"/>
      <c r="AN32" s="41"/>
      <c r="AO32" s="41"/>
      <c r="AP32" s="41"/>
      <c r="AQ32" s="41"/>
      <c r="AR32" s="41"/>
      <c r="AS32" s="41"/>
      <c r="AT32" s="10"/>
      <c r="AV32" s="35"/>
      <c r="AW32" s="35"/>
      <c r="AX32" s="35">
        <v>1</v>
      </c>
      <c r="AY32" s="35"/>
    </row>
    <row r="33" spans="1:51" ht="40.5">
      <c r="A33" s="27" t="s">
        <v>38</v>
      </c>
      <c r="B33" s="28" t="s">
        <v>376</v>
      </c>
      <c r="C33" s="10"/>
      <c r="D33" s="37"/>
      <c r="E33" s="10"/>
      <c r="F33" s="53"/>
      <c r="G33" s="45">
        <f t="shared" ref="G33:V36" si="12">G34</f>
        <v>8075</v>
      </c>
      <c r="H33" s="45">
        <f t="shared" si="12"/>
        <v>0</v>
      </c>
      <c r="I33" s="45">
        <f t="shared" si="12"/>
        <v>0</v>
      </c>
      <c r="J33" s="45">
        <f t="shared" si="12"/>
        <v>0</v>
      </c>
      <c r="K33" s="45">
        <f t="shared" si="12"/>
        <v>0</v>
      </c>
      <c r="L33" s="45">
        <f t="shared" si="12"/>
        <v>8075</v>
      </c>
      <c r="M33" s="45">
        <f t="shared" si="12"/>
        <v>8075</v>
      </c>
      <c r="N33" s="45">
        <f t="shared" si="12"/>
        <v>0</v>
      </c>
      <c r="O33" s="45">
        <f t="shared" si="12"/>
        <v>8075</v>
      </c>
      <c r="P33" s="45">
        <f t="shared" si="12"/>
        <v>0</v>
      </c>
      <c r="Q33" s="45">
        <f t="shared" si="12"/>
        <v>0</v>
      </c>
      <c r="R33" s="45">
        <f t="shared" si="12"/>
        <v>8075</v>
      </c>
      <c r="S33" s="45">
        <f t="shared" si="12"/>
        <v>8075</v>
      </c>
      <c r="T33" s="45">
        <f t="shared" si="12"/>
        <v>0</v>
      </c>
      <c r="U33" s="45">
        <f t="shared" si="12"/>
        <v>0</v>
      </c>
      <c r="V33" s="45">
        <f t="shared" si="12"/>
        <v>0</v>
      </c>
      <c r="W33" s="45">
        <f t="shared" ref="W33:AS36" si="13">W34</f>
        <v>0</v>
      </c>
      <c r="X33" s="45">
        <f t="shared" si="13"/>
        <v>0</v>
      </c>
      <c r="Y33" s="45">
        <f t="shared" si="13"/>
        <v>0</v>
      </c>
      <c r="Z33" s="45">
        <f t="shared" si="13"/>
        <v>7922</v>
      </c>
      <c r="AA33" s="45">
        <f t="shared" si="13"/>
        <v>0</v>
      </c>
      <c r="AB33" s="45">
        <f t="shared" si="13"/>
        <v>6359.8980000000001</v>
      </c>
      <c r="AC33" s="45">
        <f t="shared" si="13"/>
        <v>6359.8980000000001</v>
      </c>
      <c r="AD33" s="45">
        <f t="shared" si="13"/>
        <v>0</v>
      </c>
      <c r="AE33" s="45">
        <f t="shared" si="13"/>
        <v>0</v>
      </c>
      <c r="AF33" s="45">
        <f t="shared" si="13"/>
        <v>0</v>
      </c>
      <c r="AG33" s="45">
        <f t="shared" si="13"/>
        <v>0</v>
      </c>
      <c r="AH33" s="45">
        <f t="shared" si="13"/>
        <v>0</v>
      </c>
      <c r="AI33" s="45">
        <f t="shared" si="13"/>
        <v>0</v>
      </c>
      <c r="AJ33" s="45">
        <f t="shared" si="13"/>
        <v>0</v>
      </c>
      <c r="AK33" s="45">
        <f t="shared" si="13"/>
        <v>0</v>
      </c>
      <c r="AL33" s="45">
        <f t="shared" si="13"/>
        <v>0</v>
      </c>
      <c r="AM33" s="45">
        <f t="shared" si="13"/>
        <v>0</v>
      </c>
      <c r="AN33" s="45">
        <f t="shared" si="13"/>
        <v>0</v>
      </c>
      <c r="AO33" s="45">
        <f t="shared" si="13"/>
        <v>0</v>
      </c>
      <c r="AP33" s="45">
        <f t="shared" si="13"/>
        <v>0</v>
      </c>
      <c r="AQ33" s="45">
        <f t="shared" si="13"/>
        <v>0</v>
      </c>
      <c r="AR33" s="45">
        <f t="shared" si="13"/>
        <v>0</v>
      </c>
      <c r="AS33" s="45">
        <f t="shared" si="13"/>
        <v>0</v>
      </c>
      <c r="AT33" s="10"/>
      <c r="AV33" s="35"/>
      <c r="AW33" s="35"/>
      <c r="AX33" s="35"/>
      <c r="AY33" s="35"/>
    </row>
    <row r="34" spans="1:51">
      <c r="A34" s="31" t="s">
        <v>33</v>
      </c>
      <c r="B34" s="32" t="s">
        <v>377</v>
      </c>
      <c r="C34" s="10"/>
      <c r="D34" s="37"/>
      <c r="E34" s="10"/>
      <c r="F34" s="53"/>
      <c r="G34" s="45">
        <f>G35</f>
        <v>8075</v>
      </c>
      <c r="H34" s="45">
        <f t="shared" si="12"/>
        <v>0</v>
      </c>
      <c r="I34" s="45">
        <f t="shared" si="12"/>
        <v>0</v>
      </c>
      <c r="J34" s="45">
        <f t="shared" si="12"/>
        <v>0</v>
      </c>
      <c r="K34" s="45">
        <f t="shared" si="12"/>
        <v>0</v>
      </c>
      <c r="L34" s="45">
        <f t="shared" si="12"/>
        <v>8075</v>
      </c>
      <c r="M34" s="45">
        <f t="shared" si="12"/>
        <v>8075</v>
      </c>
      <c r="N34" s="45">
        <f t="shared" si="12"/>
        <v>0</v>
      </c>
      <c r="O34" s="45">
        <f t="shared" si="12"/>
        <v>8075</v>
      </c>
      <c r="P34" s="45">
        <f t="shared" si="12"/>
        <v>0</v>
      </c>
      <c r="Q34" s="45">
        <f t="shared" si="12"/>
        <v>0</v>
      </c>
      <c r="R34" s="45">
        <f t="shared" si="12"/>
        <v>8075</v>
      </c>
      <c r="S34" s="45">
        <f t="shared" si="12"/>
        <v>8075</v>
      </c>
      <c r="T34" s="45">
        <f t="shared" si="12"/>
        <v>0</v>
      </c>
      <c r="U34" s="45">
        <f t="shared" si="12"/>
        <v>0</v>
      </c>
      <c r="V34" s="45">
        <f t="shared" si="12"/>
        <v>0</v>
      </c>
      <c r="W34" s="45">
        <f t="shared" si="13"/>
        <v>0</v>
      </c>
      <c r="X34" s="45">
        <f t="shared" si="13"/>
        <v>0</v>
      </c>
      <c r="Y34" s="45">
        <f t="shared" si="13"/>
        <v>0</v>
      </c>
      <c r="Z34" s="45">
        <f t="shared" si="13"/>
        <v>7922</v>
      </c>
      <c r="AA34" s="45">
        <f t="shared" si="13"/>
        <v>0</v>
      </c>
      <c r="AB34" s="45">
        <f t="shared" si="13"/>
        <v>6359.8980000000001</v>
      </c>
      <c r="AC34" s="45">
        <f t="shared" si="13"/>
        <v>6359.8980000000001</v>
      </c>
      <c r="AD34" s="45">
        <f t="shared" si="13"/>
        <v>0</v>
      </c>
      <c r="AE34" s="45">
        <f t="shared" si="13"/>
        <v>0</v>
      </c>
      <c r="AF34" s="45">
        <f t="shared" si="13"/>
        <v>0</v>
      </c>
      <c r="AG34" s="45">
        <f t="shared" si="13"/>
        <v>0</v>
      </c>
      <c r="AH34" s="45">
        <f t="shared" si="13"/>
        <v>0</v>
      </c>
      <c r="AI34" s="45">
        <f t="shared" si="13"/>
        <v>0</v>
      </c>
      <c r="AJ34" s="45">
        <f t="shared" si="13"/>
        <v>0</v>
      </c>
      <c r="AK34" s="45">
        <f t="shared" si="13"/>
        <v>0</v>
      </c>
      <c r="AL34" s="45">
        <f t="shared" si="13"/>
        <v>0</v>
      </c>
      <c r="AM34" s="45">
        <f t="shared" si="13"/>
        <v>0</v>
      </c>
      <c r="AN34" s="45">
        <f t="shared" si="13"/>
        <v>0</v>
      </c>
      <c r="AO34" s="45">
        <f t="shared" si="13"/>
        <v>0</v>
      </c>
      <c r="AP34" s="45">
        <f t="shared" si="13"/>
        <v>0</v>
      </c>
      <c r="AQ34" s="45">
        <f t="shared" si="13"/>
        <v>0</v>
      </c>
      <c r="AR34" s="45">
        <f t="shared" si="13"/>
        <v>0</v>
      </c>
      <c r="AS34" s="45">
        <f t="shared" si="13"/>
        <v>0</v>
      </c>
      <c r="AT34" s="10"/>
      <c r="AV34" s="35"/>
      <c r="AW34" s="35"/>
      <c r="AX34" s="35"/>
      <c r="AY34" s="35"/>
    </row>
    <row r="35" spans="1:51" ht="27">
      <c r="A35" s="31" t="s">
        <v>120</v>
      </c>
      <c r="B35" s="33" t="s">
        <v>36</v>
      </c>
      <c r="C35" s="10"/>
      <c r="D35" s="37"/>
      <c r="E35" s="10"/>
      <c r="F35" s="53"/>
      <c r="G35" s="45">
        <f>G36</f>
        <v>8075</v>
      </c>
      <c r="H35" s="45">
        <f t="shared" si="12"/>
        <v>0</v>
      </c>
      <c r="I35" s="45">
        <f t="shared" si="12"/>
        <v>0</v>
      </c>
      <c r="J35" s="45">
        <f t="shared" si="12"/>
        <v>0</v>
      </c>
      <c r="K35" s="45">
        <f t="shared" si="12"/>
        <v>0</v>
      </c>
      <c r="L35" s="45">
        <f t="shared" si="12"/>
        <v>8075</v>
      </c>
      <c r="M35" s="45">
        <f t="shared" si="12"/>
        <v>8075</v>
      </c>
      <c r="N35" s="45">
        <f t="shared" si="12"/>
        <v>0</v>
      </c>
      <c r="O35" s="45">
        <f t="shared" si="12"/>
        <v>8075</v>
      </c>
      <c r="P35" s="45">
        <f t="shared" si="12"/>
        <v>0</v>
      </c>
      <c r="Q35" s="45">
        <f t="shared" si="12"/>
        <v>0</v>
      </c>
      <c r="R35" s="45">
        <f t="shared" si="12"/>
        <v>8075</v>
      </c>
      <c r="S35" s="45">
        <f t="shared" si="12"/>
        <v>8075</v>
      </c>
      <c r="T35" s="45">
        <f t="shared" si="12"/>
        <v>0</v>
      </c>
      <c r="U35" s="45">
        <f t="shared" si="12"/>
        <v>0</v>
      </c>
      <c r="V35" s="45">
        <f t="shared" si="12"/>
        <v>0</v>
      </c>
      <c r="W35" s="45">
        <f t="shared" si="13"/>
        <v>0</v>
      </c>
      <c r="X35" s="45">
        <f t="shared" si="13"/>
        <v>0</v>
      </c>
      <c r="Y35" s="45">
        <f t="shared" si="13"/>
        <v>0</v>
      </c>
      <c r="Z35" s="45">
        <f t="shared" si="13"/>
        <v>7922</v>
      </c>
      <c r="AA35" s="45">
        <f t="shared" si="13"/>
        <v>0</v>
      </c>
      <c r="AB35" s="45">
        <f t="shared" si="13"/>
        <v>6359.8980000000001</v>
      </c>
      <c r="AC35" s="45">
        <f t="shared" si="13"/>
        <v>6359.8980000000001</v>
      </c>
      <c r="AD35" s="45">
        <f t="shared" si="13"/>
        <v>0</v>
      </c>
      <c r="AE35" s="45">
        <f t="shared" si="13"/>
        <v>0</v>
      </c>
      <c r="AF35" s="45">
        <f t="shared" si="13"/>
        <v>0</v>
      </c>
      <c r="AG35" s="45">
        <f t="shared" si="13"/>
        <v>0</v>
      </c>
      <c r="AH35" s="45">
        <f t="shared" si="13"/>
        <v>0</v>
      </c>
      <c r="AI35" s="45">
        <f t="shared" si="13"/>
        <v>0</v>
      </c>
      <c r="AJ35" s="45">
        <f t="shared" si="13"/>
        <v>0</v>
      </c>
      <c r="AK35" s="45">
        <f t="shared" si="13"/>
        <v>0</v>
      </c>
      <c r="AL35" s="45">
        <f t="shared" si="13"/>
        <v>0</v>
      </c>
      <c r="AM35" s="45">
        <f t="shared" si="13"/>
        <v>0</v>
      </c>
      <c r="AN35" s="45">
        <f t="shared" si="13"/>
        <v>0</v>
      </c>
      <c r="AO35" s="45">
        <f t="shared" si="13"/>
        <v>0</v>
      </c>
      <c r="AP35" s="45">
        <f t="shared" si="13"/>
        <v>0</v>
      </c>
      <c r="AQ35" s="45">
        <f t="shared" si="13"/>
        <v>0</v>
      </c>
      <c r="AR35" s="45">
        <f t="shared" si="13"/>
        <v>0</v>
      </c>
      <c r="AS35" s="45">
        <f t="shared" si="13"/>
        <v>0</v>
      </c>
      <c r="AT35" s="10"/>
      <c r="AV35" s="35"/>
      <c r="AW35" s="35"/>
      <c r="AX35" s="35"/>
      <c r="AY35" s="35"/>
    </row>
    <row r="36" spans="1:51" ht="63.75" customHeight="1">
      <c r="A36" s="59" t="s">
        <v>96</v>
      </c>
      <c r="B36" s="34" t="s">
        <v>123</v>
      </c>
      <c r="C36" s="10"/>
      <c r="D36" s="37"/>
      <c r="E36" s="10"/>
      <c r="F36" s="53"/>
      <c r="G36" s="45">
        <f>G37</f>
        <v>8075</v>
      </c>
      <c r="H36" s="45">
        <f t="shared" si="12"/>
        <v>0</v>
      </c>
      <c r="I36" s="45">
        <f t="shared" si="12"/>
        <v>0</v>
      </c>
      <c r="J36" s="45">
        <f t="shared" si="12"/>
        <v>0</v>
      </c>
      <c r="K36" s="45">
        <f t="shared" si="12"/>
        <v>0</v>
      </c>
      <c r="L36" s="45">
        <f t="shared" si="12"/>
        <v>8075</v>
      </c>
      <c r="M36" s="45">
        <f t="shared" si="12"/>
        <v>8075</v>
      </c>
      <c r="N36" s="45">
        <f t="shared" si="12"/>
        <v>0</v>
      </c>
      <c r="O36" s="45">
        <f t="shared" si="12"/>
        <v>8075</v>
      </c>
      <c r="P36" s="45">
        <f t="shared" si="12"/>
        <v>0</v>
      </c>
      <c r="Q36" s="45">
        <f t="shared" si="12"/>
        <v>0</v>
      </c>
      <c r="R36" s="45">
        <f t="shared" si="12"/>
        <v>8075</v>
      </c>
      <c r="S36" s="45">
        <f t="shared" si="12"/>
        <v>8075</v>
      </c>
      <c r="T36" s="45">
        <f t="shared" si="12"/>
        <v>0</v>
      </c>
      <c r="U36" s="45">
        <f t="shared" si="12"/>
        <v>0</v>
      </c>
      <c r="V36" s="45">
        <f t="shared" si="12"/>
        <v>0</v>
      </c>
      <c r="W36" s="45">
        <f t="shared" si="13"/>
        <v>0</v>
      </c>
      <c r="X36" s="45">
        <f t="shared" si="13"/>
        <v>0</v>
      </c>
      <c r="Y36" s="45">
        <f t="shared" si="13"/>
        <v>0</v>
      </c>
      <c r="Z36" s="45">
        <f t="shared" si="13"/>
        <v>7922</v>
      </c>
      <c r="AA36" s="45">
        <f t="shared" si="13"/>
        <v>0</v>
      </c>
      <c r="AB36" s="45">
        <f t="shared" si="13"/>
        <v>6359.8980000000001</v>
      </c>
      <c r="AC36" s="45">
        <f t="shared" si="13"/>
        <v>6359.8980000000001</v>
      </c>
      <c r="AD36" s="45">
        <f t="shared" si="13"/>
        <v>0</v>
      </c>
      <c r="AE36" s="45">
        <f t="shared" si="13"/>
        <v>0</v>
      </c>
      <c r="AF36" s="45">
        <f t="shared" si="13"/>
        <v>0</v>
      </c>
      <c r="AG36" s="45">
        <f t="shared" si="13"/>
        <v>0</v>
      </c>
      <c r="AH36" s="45">
        <f t="shared" si="13"/>
        <v>0</v>
      </c>
      <c r="AI36" s="45">
        <f t="shared" si="13"/>
        <v>0</v>
      </c>
      <c r="AJ36" s="45">
        <f t="shared" si="13"/>
        <v>0</v>
      </c>
      <c r="AK36" s="45">
        <f t="shared" si="13"/>
        <v>0</v>
      </c>
      <c r="AL36" s="45">
        <f t="shared" si="13"/>
        <v>0</v>
      </c>
      <c r="AM36" s="45">
        <f t="shared" si="13"/>
        <v>0</v>
      </c>
      <c r="AN36" s="45">
        <f t="shared" si="13"/>
        <v>0</v>
      </c>
      <c r="AO36" s="45">
        <f t="shared" si="13"/>
        <v>0</v>
      </c>
      <c r="AP36" s="45">
        <f t="shared" si="13"/>
        <v>0</v>
      </c>
      <c r="AQ36" s="45">
        <f t="shared" si="13"/>
        <v>0</v>
      </c>
      <c r="AR36" s="45">
        <f t="shared" si="13"/>
        <v>0</v>
      </c>
      <c r="AS36" s="45">
        <f t="shared" si="13"/>
        <v>0</v>
      </c>
      <c r="AT36" s="10"/>
      <c r="AV36" s="35"/>
      <c r="AW36" s="35"/>
      <c r="AX36" s="35"/>
      <c r="AY36" s="35"/>
    </row>
    <row r="37" spans="1:51" ht="111">
      <c r="A37" s="38">
        <v>1</v>
      </c>
      <c r="B37" s="40" t="s">
        <v>378</v>
      </c>
      <c r="C37" s="10"/>
      <c r="D37" s="37"/>
      <c r="E37" s="10"/>
      <c r="F37" s="52" t="s">
        <v>384</v>
      </c>
      <c r="G37" s="48">
        <f>H37+L37</f>
        <v>8075</v>
      </c>
      <c r="H37" s="48"/>
      <c r="I37" s="48"/>
      <c r="J37" s="48"/>
      <c r="K37" s="42"/>
      <c r="L37" s="48">
        <f>M37+N37</f>
        <v>8075</v>
      </c>
      <c r="M37" s="48">
        <v>8075</v>
      </c>
      <c r="N37" s="48"/>
      <c r="O37" s="44">
        <f>P37+R37</f>
        <v>8075</v>
      </c>
      <c r="P37" s="41"/>
      <c r="Q37" s="41"/>
      <c r="R37" s="44">
        <f>S37+T37</f>
        <v>8075</v>
      </c>
      <c r="S37" s="48">
        <v>8075</v>
      </c>
      <c r="T37" s="41"/>
      <c r="U37" s="41"/>
      <c r="V37" s="41"/>
      <c r="W37" s="41">
        <f>X37+Y37</f>
        <v>0</v>
      </c>
      <c r="X37" s="41"/>
      <c r="Y37" s="41"/>
      <c r="Z37" s="48">
        <v>7922</v>
      </c>
      <c r="AA37" s="48"/>
      <c r="AB37" s="41">
        <f>AC37+AD37</f>
        <v>6359.8980000000001</v>
      </c>
      <c r="AC37" s="41">
        <v>6359.8980000000001</v>
      </c>
      <c r="AD37" s="41"/>
      <c r="AE37" s="41"/>
      <c r="AF37" s="41"/>
      <c r="AG37" s="41"/>
      <c r="AH37" s="41"/>
      <c r="AI37" s="41"/>
      <c r="AJ37" s="41"/>
      <c r="AK37" s="10"/>
      <c r="AL37" s="41"/>
      <c r="AM37" s="41"/>
      <c r="AN37" s="41"/>
      <c r="AO37" s="41"/>
      <c r="AP37" s="41"/>
      <c r="AQ37" s="41"/>
      <c r="AR37" s="41"/>
      <c r="AS37" s="41"/>
      <c r="AT37" s="10"/>
      <c r="AV37" s="35"/>
      <c r="AW37" s="35">
        <v>1</v>
      </c>
      <c r="AX37" s="35"/>
      <c r="AY37" s="35"/>
    </row>
    <row r="38" spans="1:5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V38" s="35"/>
      <c r="AW38" s="35"/>
      <c r="AX38" s="35"/>
      <c r="AY38" s="35"/>
    </row>
  </sheetData>
  <autoFilter ref="A14:AY37"/>
  <mergeCells count="88">
    <mergeCell ref="AV5:AY5"/>
    <mergeCell ref="AV6:AV10"/>
    <mergeCell ref="AW6:AW10"/>
    <mergeCell ref="AX6:AX10"/>
    <mergeCell ref="AY6:AY10"/>
    <mergeCell ref="A1:AT1"/>
    <mergeCell ref="A2:AT2"/>
    <mergeCell ref="A3:AT3"/>
    <mergeCell ref="A4:AT4"/>
    <mergeCell ref="U8:U13"/>
    <mergeCell ref="V8:V13"/>
    <mergeCell ref="W8:W13"/>
    <mergeCell ref="X8:Y8"/>
    <mergeCell ref="Z8:Z13"/>
    <mergeCell ref="AT5:AT13"/>
    <mergeCell ref="U7:V7"/>
    <mergeCell ref="W7:Y7"/>
    <mergeCell ref="Z7:AA7"/>
    <mergeCell ref="AB7:AD7"/>
    <mergeCell ref="AA8:AA13"/>
    <mergeCell ref="AB8:AB13"/>
    <mergeCell ref="AC8:AD8"/>
    <mergeCell ref="AC9:AC13"/>
    <mergeCell ref="AE6:AI6"/>
    <mergeCell ref="AE7:AF7"/>
    <mergeCell ref="S9:S13"/>
    <mergeCell ref="T9:T13"/>
    <mergeCell ref="Y9:Y13"/>
    <mergeCell ref="X9:X13"/>
    <mergeCell ref="AD9:AD13"/>
    <mergeCell ref="P9:P13"/>
    <mergeCell ref="Q9:Q13"/>
    <mergeCell ref="F5:N6"/>
    <mergeCell ref="O5:T6"/>
    <mergeCell ref="R8:T8"/>
    <mergeCell ref="P8:Q8"/>
    <mergeCell ref="O7:O13"/>
    <mergeCell ref="P7:T7"/>
    <mergeCell ref="R9:R13"/>
    <mergeCell ref="H10:H13"/>
    <mergeCell ref="I10:J10"/>
    <mergeCell ref="K10:K13"/>
    <mergeCell ref="L10:N10"/>
    <mergeCell ref="I11:I13"/>
    <mergeCell ref="J11:J13"/>
    <mergeCell ref="L11:L13"/>
    <mergeCell ref="M11:N11"/>
    <mergeCell ref="F7:F13"/>
    <mergeCell ref="G7:N7"/>
    <mergeCell ref="G8:G13"/>
    <mergeCell ref="H8:N8"/>
    <mergeCell ref="H9:J9"/>
    <mergeCell ref="K9:N9"/>
    <mergeCell ref="M12:M13"/>
    <mergeCell ref="N12:N13"/>
    <mergeCell ref="A5:A13"/>
    <mergeCell ref="B5:B13"/>
    <mergeCell ref="C5:C13"/>
    <mergeCell ref="D5:D13"/>
    <mergeCell ref="E5:E13"/>
    <mergeCell ref="U5:AS5"/>
    <mergeCell ref="AG7:AI7"/>
    <mergeCell ref="AE8:AE13"/>
    <mergeCell ref="AF8:AF13"/>
    <mergeCell ref="AG8:AG13"/>
    <mergeCell ref="AH8:AI8"/>
    <mergeCell ref="AH9:AH13"/>
    <mergeCell ref="AI9:AI13"/>
    <mergeCell ref="U6:Y6"/>
    <mergeCell ref="Z6:AD6"/>
    <mergeCell ref="AJ6:AN6"/>
    <mergeCell ref="AJ7:AK7"/>
    <mergeCell ref="AL7:AN7"/>
    <mergeCell ref="AJ8:AJ13"/>
    <mergeCell ref="AK8:AK13"/>
    <mergeCell ref="AL8:AL13"/>
    <mergeCell ref="AM8:AN8"/>
    <mergeCell ref="AM9:AM13"/>
    <mergeCell ref="AN9:AN13"/>
    <mergeCell ref="AO6:AS6"/>
    <mergeCell ref="AO7:AP7"/>
    <mergeCell ref="AQ7:AS7"/>
    <mergeCell ref="AO8:AO13"/>
    <mergeCell ref="AP8:AP13"/>
    <mergeCell ref="AQ8:AQ13"/>
    <mergeCell ref="AR8:AS8"/>
    <mergeCell ref="AR9:AR13"/>
    <mergeCell ref="AS9:AS13"/>
  </mergeCells>
  <pageMargins left="0.70866141732283472" right="0.70866141732283472" top="0.74803149606299213" bottom="0.74803149606299213" header="0.31496062992125984" footer="0.31496062992125984"/>
  <pageSetup paperSize="9" scale="26" orientation="landscape" r:id="rId1"/>
</worksheet>
</file>

<file path=xl/worksheets/sheet9.xml><?xml version="1.0" encoding="utf-8"?>
<worksheet xmlns="http://schemas.openxmlformats.org/spreadsheetml/2006/main" xmlns:r="http://schemas.openxmlformats.org/officeDocument/2006/relationships">
  <sheetPr>
    <tabColor rgb="FFFF0000"/>
  </sheetPr>
  <dimension ref="A1:F52"/>
  <sheetViews>
    <sheetView workbookViewId="0">
      <selection activeCell="F12" sqref="F12"/>
    </sheetView>
  </sheetViews>
  <sheetFormatPr defaultColWidth="9.1328125" defaultRowHeight="15.4"/>
  <cols>
    <col min="1" max="1" width="9.1328125" style="20"/>
    <col min="2" max="2" width="33" style="74" customWidth="1"/>
    <col min="3" max="3" width="18.86328125" style="74" customWidth="1"/>
    <col min="4" max="4" width="16.265625" style="75" customWidth="1"/>
    <col min="5" max="5" width="16.86328125" style="75" customWidth="1"/>
    <col min="6" max="6" width="63.265625" style="74" customWidth="1"/>
    <col min="7" max="16384" width="9.1328125" style="1"/>
  </cols>
  <sheetData>
    <row r="1" spans="1:6" s="4" customFormat="1" ht="15">
      <c r="A1" s="782" t="s">
        <v>916</v>
      </c>
      <c r="B1" s="782"/>
      <c r="C1" s="782"/>
      <c r="D1" s="782"/>
      <c r="E1" s="782"/>
      <c r="F1" s="782"/>
    </row>
    <row r="2" spans="1:6">
      <c r="A2" s="783" t="s">
        <v>917</v>
      </c>
      <c r="B2" s="783"/>
      <c r="C2" s="783"/>
      <c r="D2" s="783"/>
      <c r="E2" s="783"/>
      <c r="F2" s="783"/>
    </row>
    <row r="4" spans="1:6" s="14" customFormat="1" ht="15">
      <c r="A4" s="5" t="s">
        <v>0</v>
      </c>
      <c r="B4" s="68" t="s">
        <v>872</v>
      </c>
      <c r="C4" s="68" t="s">
        <v>873</v>
      </c>
      <c r="D4" s="69" t="s">
        <v>874</v>
      </c>
      <c r="E4" s="69" t="s">
        <v>875</v>
      </c>
      <c r="F4" s="68" t="s">
        <v>884</v>
      </c>
    </row>
    <row r="5" spans="1:6">
      <c r="A5" s="7">
        <v>1</v>
      </c>
      <c r="B5" s="70" t="s">
        <v>877</v>
      </c>
      <c r="C5" s="67" t="s">
        <v>878</v>
      </c>
      <c r="D5" s="71">
        <v>45533</v>
      </c>
      <c r="E5" s="71">
        <v>45533</v>
      </c>
      <c r="F5" s="8" t="s">
        <v>879</v>
      </c>
    </row>
    <row r="6" spans="1:6" ht="30.75">
      <c r="A6" s="7">
        <v>2</v>
      </c>
      <c r="B6" s="70" t="s">
        <v>881</v>
      </c>
      <c r="C6" s="67" t="s">
        <v>880</v>
      </c>
      <c r="D6" s="71">
        <v>45533</v>
      </c>
      <c r="E6" s="71">
        <v>45534</v>
      </c>
      <c r="F6" s="8" t="s">
        <v>941</v>
      </c>
    </row>
    <row r="7" spans="1:6" ht="30.75">
      <c r="A7" s="7">
        <v>3</v>
      </c>
      <c r="B7" s="70" t="s">
        <v>883</v>
      </c>
      <c r="C7" s="67" t="s">
        <v>882</v>
      </c>
      <c r="D7" s="71">
        <v>45541</v>
      </c>
      <c r="E7" s="71">
        <v>45544</v>
      </c>
      <c r="F7" s="8" t="s">
        <v>951</v>
      </c>
    </row>
    <row r="8" spans="1:6">
      <c r="A8" s="7">
        <v>4</v>
      </c>
      <c r="B8" s="70" t="s">
        <v>885</v>
      </c>
      <c r="C8" s="67" t="s">
        <v>886</v>
      </c>
      <c r="D8" s="71">
        <v>45539</v>
      </c>
      <c r="E8" s="71">
        <v>45546</v>
      </c>
      <c r="F8" s="8" t="s">
        <v>887</v>
      </c>
    </row>
    <row r="9" spans="1:6">
      <c r="A9" s="7">
        <v>5</v>
      </c>
      <c r="B9" s="70" t="s">
        <v>888</v>
      </c>
      <c r="C9" s="67" t="s">
        <v>889</v>
      </c>
      <c r="D9" s="71">
        <v>45544</v>
      </c>
      <c r="E9" s="71">
        <v>45546</v>
      </c>
      <c r="F9" s="8" t="s">
        <v>890</v>
      </c>
    </row>
    <row r="10" spans="1:6" ht="30.75">
      <c r="A10" s="7">
        <v>6</v>
      </c>
      <c r="B10" s="70" t="s">
        <v>892</v>
      </c>
      <c r="C10" s="67" t="s">
        <v>891</v>
      </c>
      <c r="D10" s="71">
        <v>45546</v>
      </c>
      <c r="E10" s="71">
        <v>45546</v>
      </c>
      <c r="F10" s="8" t="s">
        <v>954</v>
      </c>
    </row>
    <row r="11" spans="1:6">
      <c r="A11" s="7">
        <v>7</v>
      </c>
      <c r="B11" s="70" t="s">
        <v>893</v>
      </c>
      <c r="C11" s="67" t="s">
        <v>894</v>
      </c>
      <c r="D11" s="71">
        <v>45545</v>
      </c>
      <c r="E11" s="71">
        <v>45546</v>
      </c>
      <c r="F11" s="8"/>
    </row>
    <row r="12" spans="1:6" ht="30.75">
      <c r="A12" s="7">
        <v>8</v>
      </c>
      <c r="B12" s="70" t="s">
        <v>895</v>
      </c>
      <c r="C12" s="67" t="s">
        <v>896</v>
      </c>
      <c r="D12" s="71">
        <v>45545</v>
      </c>
      <c r="E12" s="71">
        <v>45546</v>
      </c>
      <c r="F12" s="8" t="s">
        <v>959</v>
      </c>
    </row>
    <row r="13" spans="1:6">
      <c r="A13" s="7">
        <v>9</v>
      </c>
      <c r="B13" s="70" t="s">
        <v>897</v>
      </c>
      <c r="C13" s="67" t="s">
        <v>898</v>
      </c>
      <c r="D13" s="71">
        <v>45546</v>
      </c>
      <c r="E13" s="71">
        <v>45546</v>
      </c>
      <c r="F13" s="8" t="s">
        <v>910</v>
      </c>
    </row>
    <row r="14" spans="1:6" ht="30.75">
      <c r="A14" s="7">
        <v>10</v>
      </c>
      <c r="B14" s="70" t="s">
        <v>900</v>
      </c>
      <c r="C14" s="67" t="s">
        <v>899</v>
      </c>
      <c r="D14" s="71">
        <v>45546</v>
      </c>
      <c r="E14" s="71">
        <v>45546</v>
      </c>
      <c r="F14" s="8" t="s">
        <v>901</v>
      </c>
    </row>
    <row r="15" spans="1:6">
      <c r="A15" s="7">
        <v>11</v>
      </c>
      <c r="B15" s="70" t="s">
        <v>902</v>
      </c>
      <c r="C15" s="67" t="s">
        <v>903</v>
      </c>
      <c r="D15" s="71">
        <v>45546</v>
      </c>
      <c r="E15" s="71">
        <v>45546</v>
      </c>
      <c r="F15" s="8" t="s">
        <v>908</v>
      </c>
    </row>
    <row r="16" spans="1:6">
      <c r="A16" s="7">
        <v>12</v>
      </c>
      <c r="B16" s="70" t="s">
        <v>904</v>
      </c>
      <c r="C16" s="67" t="s">
        <v>905</v>
      </c>
      <c r="D16" s="71">
        <v>45546</v>
      </c>
      <c r="E16" s="71">
        <v>45546</v>
      </c>
      <c r="F16" s="8" t="s">
        <v>909</v>
      </c>
    </row>
    <row r="17" spans="1:6">
      <c r="A17" s="7">
        <v>13</v>
      </c>
      <c r="B17" s="70" t="s">
        <v>906</v>
      </c>
      <c r="C17" s="67" t="s">
        <v>907</v>
      </c>
      <c r="D17" s="71">
        <v>45542</v>
      </c>
      <c r="E17" s="71">
        <v>45546</v>
      </c>
      <c r="F17" s="8"/>
    </row>
    <row r="18" spans="1:6">
      <c r="A18" s="7">
        <v>14</v>
      </c>
      <c r="B18" s="70" t="s">
        <v>911</v>
      </c>
      <c r="C18" s="67" t="s">
        <v>912</v>
      </c>
      <c r="D18" s="71">
        <v>45545</v>
      </c>
      <c r="E18" s="71">
        <v>45547</v>
      </c>
      <c r="F18" s="8" t="s">
        <v>913</v>
      </c>
    </row>
    <row r="19" spans="1:6" ht="30.75">
      <c r="A19" s="7">
        <v>15</v>
      </c>
      <c r="B19" s="70" t="s">
        <v>914</v>
      </c>
      <c r="C19" s="67" t="s">
        <v>915</v>
      </c>
      <c r="D19" s="71">
        <v>45546</v>
      </c>
      <c r="E19" s="71">
        <v>45547</v>
      </c>
      <c r="F19" s="8" t="s">
        <v>918</v>
      </c>
    </row>
    <row r="20" spans="1:6">
      <c r="A20" s="7">
        <v>16</v>
      </c>
      <c r="B20" s="70" t="s">
        <v>919</v>
      </c>
      <c r="C20" s="67" t="s">
        <v>920</v>
      </c>
      <c r="D20" s="71">
        <v>45545</v>
      </c>
      <c r="E20" s="71">
        <v>45547</v>
      </c>
      <c r="F20" s="8" t="s">
        <v>921</v>
      </c>
    </row>
    <row r="21" spans="1:6">
      <c r="A21" s="7">
        <v>17</v>
      </c>
      <c r="B21" s="70" t="s">
        <v>225</v>
      </c>
      <c r="C21" s="67" t="s">
        <v>922</v>
      </c>
      <c r="D21" s="71">
        <v>45546</v>
      </c>
      <c r="E21" s="71">
        <v>45547</v>
      </c>
      <c r="F21" s="8" t="s">
        <v>923</v>
      </c>
    </row>
    <row r="22" spans="1:6">
      <c r="A22" s="7">
        <v>18</v>
      </c>
      <c r="B22" s="70" t="s">
        <v>634</v>
      </c>
      <c r="C22" s="67" t="s">
        <v>924</v>
      </c>
      <c r="D22" s="71">
        <v>45546</v>
      </c>
      <c r="E22" s="71">
        <v>45548</v>
      </c>
      <c r="F22" s="8"/>
    </row>
    <row r="23" spans="1:6">
      <c r="A23" s="7">
        <v>19</v>
      </c>
      <c r="B23" s="70" t="s">
        <v>925</v>
      </c>
      <c r="C23" s="67" t="s">
        <v>926</v>
      </c>
      <c r="D23" s="71">
        <v>45545</v>
      </c>
      <c r="E23" s="71">
        <v>45548</v>
      </c>
      <c r="F23" s="8" t="s">
        <v>958</v>
      </c>
    </row>
    <row r="24" spans="1:6">
      <c r="A24" s="7">
        <v>20</v>
      </c>
      <c r="B24" s="70" t="s">
        <v>927</v>
      </c>
      <c r="C24" s="67" t="s">
        <v>928</v>
      </c>
      <c r="D24" s="71">
        <v>45547</v>
      </c>
      <c r="E24" s="71">
        <v>45548</v>
      </c>
      <c r="F24" s="8"/>
    </row>
    <row r="25" spans="1:6" ht="30.75">
      <c r="A25" s="7">
        <v>21</v>
      </c>
      <c r="B25" s="70" t="s">
        <v>929</v>
      </c>
      <c r="C25" s="67" t="s">
        <v>930</v>
      </c>
      <c r="D25" s="71">
        <v>45545</v>
      </c>
      <c r="E25" s="71">
        <v>45549</v>
      </c>
      <c r="F25" s="8" t="s">
        <v>931</v>
      </c>
    </row>
    <row r="26" spans="1:6" ht="30.75">
      <c r="A26" s="7">
        <v>22</v>
      </c>
      <c r="B26" s="8" t="s">
        <v>933</v>
      </c>
      <c r="C26" s="67" t="s">
        <v>932</v>
      </c>
      <c r="D26" s="71">
        <v>45548</v>
      </c>
      <c r="E26" s="71">
        <v>45551</v>
      </c>
      <c r="F26" s="8" t="s">
        <v>934</v>
      </c>
    </row>
    <row r="27" spans="1:6" ht="61.5">
      <c r="A27" s="7">
        <v>23</v>
      </c>
      <c r="B27" s="8" t="s">
        <v>404</v>
      </c>
      <c r="C27" s="67" t="s">
        <v>935</v>
      </c>
      <c r="D27" s="71">
        <v>45551</v>
      </c>
      <c r="E27" s="71">
        <v>45551</v>
      </c>
      <c r="F27" s="8" t="s">
        <v>936</v>
      </c>
    </row>
    <row r="28" spans="1:6">
      <c r="A28" s="7">
        <v>24</v>
      </c>
      <c r="B28" s="8" t="s">
        <v>937</v>
      </c>
      <c r="C28" s="67" t="s">
        <v>938</v>
      </c>
      <c r="D28" s="71">
        <v>45551</v>
      </c>
      <c r="E28" s="71">
        <v>45551</v>
      </c>
      <c r="F28" s="8" t="s">
        <v>939</v>
      </c>
    </row>
    <row r="29" spans="1:6" s="73" customFormat="1">
      <c r="A29" s="24">
        <v>25</v>
      </c>
      <c r="B29" s="23" t="s">
        <v>940</v>
      </c>
      <c r="C29" s="21" t="s">
        <v>962</v>
      </c>
      <c r="D29" s="72"/>
      <c r="E29" s="72">
        <v>45554</v>
      </c>
      <c r="F29" s="23"/>
    </row>
    <row r="30" spans="1:6" ht="30.75">
      <c r="A30" s="7">
        <v>26</v>
      </c>
      <c r="B30" s="8" t="s">
        <v>401</v>
      </c>
      <c r="C30" s="67" t="s">
        <v>942</v>
      </c>
      <c r="D30" s="71" t="s">
        <v>943</v>
      </c>
      <c r="E30" s="71">
        <v>45552</v>
      </c>
      <c r="F30" s="8" t="s">
        <v>944</v>
      </c>
    </row>
    <row r="31" spans="1:6" ht="30.75">
      <c r="A31" s="7">
        <v>27</v>
      </c>
      <c r="B31" s="8" t="s">
        <v>945</v>
      </c>
      <c r="C31" s="67" t="s">
        <v>960</v>
      </c>
      <c r="D31" s="71">
        <v>45555</v>
      </c>
      <c r="E31" s="71">
        <v>45555</v>
      </c>
      <c r="F31" s="8" t="s">
        <v>961</v>
      </c>
    </row>
    <row r="32" spans="1:6">
      <c r="A32" s="7">
        <v>28</v>
      </c>
      <c r="B32" s="8" t="s">
        <v>403</v>
      </c>
      <c r="C32" s="67" t="s">
        <v>946</v>
      </c>
      <c r="D32" s="71" t="s">
        <v>947</v>
      </c>
      <c r="E32" s="71">
        <v>45552</v>
      </c>
      <c r="F32" s="8" t="s">
        <v>948</v>
      </c>
    </row>
    <row r="33" spans="1:6">
      <c r="A33" s="7">
        <v>29</v>
      </c>
      <c r="B33" s="8" t="s">
        <v>949</v>
      </c>
      <c r="C33" s="67" t="s">
        <v>950</v>
      </c>
      <c r="D33" s="71">
        <v>45552</v>
      </c>
      <c r="E33" s="71">
        <v>45552</v>
      </c>
      <c r="F33" s="8" t="s">
        <v>955</v>
      </c>
    </row>
    <row r="34" spans="1:6" s="73" customFormat="1">
      <c r="A34" s="7">
        <v>30</v>
      </c>
      <c r="B34" s="23" t="s">
        <v>243</v>
      </c>
      <c r="C34" s="21" t="s">
        <v>963</v>
      </c>
      <c r="D34" s="72">
        <v>45553</v>
      </c>
      <c r="E34" s="72">
        <v>45554</v>
      </c>
      <c r="F34" s="23"/>
    </row>
    <row r="35" spans="1:6" s="73" customFormat="1">
      <c r="A35" s="24">
        <v>31</v>
      </c>
      <c r="B35" s="23" t="s">
        <v>952</v>
      </c>
      <c r="C35" s="21" t="s">
        <v>953</v>
      </c>
      <c r="D35" s="72">
        <v>45545</v>
      </c>
      <c r="E35" s="72">
        <v>45559</v>
      </c>
      <c r="F35" s="23"/>
    </row>
    <row r="36" spans="1:6" ht="30.75">
      <c r="A36" s="7">
        <v>32</v>
      </c>
      <c r="B36" s="8" t="s">
        <v>956</v>
      </c>
      <c r="C36" s="67" t="s">
        <v>957</v>
      </c>
      <c r="D36" s="71">
        <v>45546</v>
      </c>
      <c r="E36" s="71">
        <v>45555</v>
      </c>
      <c r="F36" s="8"/>
    </row>
    <row r="37" spans="1:6">
      <c r="A37" s="7"/>
      <c r="B37" s="8"/>
      <c r="C37" s="67"/>
      <c r="D37" s="71"/>
      <c r="E37" s="71"/>
      <c r="F37" s="8"/>
    </row>
    <row r="38" spans="1:6">
      <c r="A38" s="7"/>
      <c r="B38" s="8"/>
      <c r="C38" s="67"/>
      <c r="D38" s="71"/>
      <c r="E38" s="71"/>
      <c r="F38" s="8"/>
    </row>
    <row r="39" spans="1:6">
      <c r="A39" s="7"/>
      <c r="B39" s="8"/>
      <c r="C39" s="67"/>
      <c r="D39" s="71"/>
      <c r="E39" s="71"/>
      <c r="F39" s="8"/>
    </row>
    <row r="40" spans="1:6">
      <c r="A40" s="7"/>
      <c r="B40" s="8"/>
      <c r="C40" s="67"/>
      <c r="D40" s="71"/>
      <c r="E40" s="71"/>
      <c r="F40" s="8"/>
    </row>
    <row r="41" spans="1:6">
      <c r="A41" s="7"/>
      <c r="B41" s="8"/>
      <c r="C41" s="67"/>
      <c r="D41" s="71"/>
      <c r="E41" s="71"/>
      <c r="F41" s="8"/>
    </row>
    <row r="42" spans="1:6">
      <c r="A42" s="7"/>
      <c r="B42" s="8"/>
      <c r="C42" s="67"/>
      <c r="D42" s="71"/>
      <c r="E42" s="71"/>
      <c r="F42" s="8"/>
    </row>
    <row r="43" spans="1:6">
      <c r="A43" s="7"/>
      <c r="B43" s="8"/>
      <c r="C43" s="67"/>
      <c r="D43" s="71"/>
      <c r="E43" s="71"/>
      <c r="F43" s="8"/>
    </row>
    <row r="44" spans="1:6">
      <c r="A44" s="7"/>
      <c r="B44" s="8"/>
      <c r="C44" s="67"/>
      <c r="D44" s="71"/>
      <c r="E44" s="71"/>
      <c r="F44" s="8"/>
    </row>
    <row r="45" spans="1:6">
      <c r="A45" s="7"/>
      <c r="B45" s="8"/>
      <c r="C45" s="67"/>
      <c r="D45" s="71"/>
      <c r="E45" s="71"/>
      <c r="F45" s="8"/>
    </row>
    <row r="46" spans="1:6">
      <c r="A46" s="7"/>
      <c r="B46" s="8"/>
      <c r="C46" s="67"/>
      <c r="D46" s="71"/>
      <c r="E46" s="71"/>
      <c r="F46" s="67"/>
    </row>
    <row r="47" spans="1:6">
      <c r="A47" s="7"/>
      <c r="B47" s="8"/>
      <c r="C47" s="67"/>
      <c r="D47" s="71"/>
      <c r="E47" s="71"/>
      <c r="F47" s="67"/>
    </row>
    <row r="48" spans="1:6">
      <c r="A48" s="7"/>
      <c r="B48" s="8"/>
      <c r="C48" s="67"/>
      <c r="D48" s="71"/>
      <c r="E48" s="71"/>
      <c r="F48" s="67"/>
    </row>
    <row r="49" spans="1:6">
      <c r="A49" s="7"/>
      <c r="B49" s="8"/>
      <c r="C49" s="67"/>
      <c r="D49" s="71"/>
      <c r="E49" s="71"/>
      <c r="F49" s="67"/>
    </row>
    <row r="50" spans="1:6">
      <c r="A50" s="7"/>
      <c r="B50" s="67"/>
      <c r="C50" s="67"/>
      <c r="D50" s="71"/>
      <c r="E50" s="71"/>
      <c r="F50" s="67"/>
    </row>
    <row r="51" spans="1:6">
      <c r="A51" s="7"/>
      <c r="B51" s="67"/>
      <c r="C51" s="67"/>
      <c r="D51" s="71"/>
      <c r="E51" s="71"/>
      <c r="F51" s="67"/>
    </row>
    <row r="52" spans="1:6">
      <c r="A52" s="7"/>
      <c r="B52" s="67"/>
      <c r="C52" s="67"/>
      <c r="D52" s="71"/>
      <c r="E52" s="71"/>
      <c r="F52" s="67"/>
    </row>
  </sheetData>
  <mergeCells count="2">
    <mergeCell ref="A1:F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10</vt:i4>
      </vt:variant>
      <vt:variant>
        <vt:lpstr>Phạm vi có Tên</vt:lpstr>
      </vt:variant>
      <vt:variant>
        <vt:i4>12</vt:i4>
      </vt:variant>
    </vt:vector>
  </HeadingPairs>
  <TitlesOfParts>
    <vt:vector size="22" baseType="lpstr">
      <vt:lpstr>B1 TH 21-25</vt:lpstr>
      <vt:lpstr>B2 NSĐP 21-25</vt:lpstr>
      <vt:lpstr>B3.DC 21-25 CTMTQG</vt:lpstr>
      <vt:lpstr>B4 DC NSDP 25</vt:lpstr>
      <vt:lpstr>B5.Bieu DC2025 CTMTQG</vt:lpstr>
      <vt:lpstr>TH cac DonVi (k in)</vt:lpstr>
      <vt:lpstr>NSTW 21-25</vt:lpstr>
      <vt:lpstr>ODA 21-25</vt:lpstr>
      <vt:lpstr>DS nop BC</vt:lpstr>
      <vt:lpstr>nang luc tk</vt:lpstr>
      <vt:lpstr>'B1 TH 21-25'!Print_Area</vt:lpstr>
      <vt:lpstr>'B2 NSĐP 21-25'!Print_Area</vt:lpstr>
      <vt:lpstr>'B3.DC 21-25 CTMTQG'!Print_Area</vt:lpstr>
      <vt:lpstr>'B4 DC NSDP 25'!Print_Area</vt:lpstr>
      <vt:lpstr>'B5.Bieu DC2025 CTMTQG'!Print_Area</vt:lpstr>
      <vt:lpstr>'NSTW 21-25'!Print_Area</vt:lpstr>
      <vt:lpstr>'ODA 21-25'!Print_Area</vt:lpstr>
      <vt:lpstr>'B2 NSĐP 21-25'!Print_Titles</vt:lpstr>
      <vt:lpstr>'B3.DC 21-25 CTMTQG'!Print_Titles</vt:lpstr>
      <vt:lpstr>'B4 DC NSDP 25'!Print_Titles</vt:lpstr>
      <vt:lpstr>'B5.Bieu DC2025 CTMTQG'!Print_Titles</vt:lpstr>
      <vt:lpstr>'NSTW 21-25'!Print_Titles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HOANGHAI</cp:lastModifiedBy>
  <cp:lastPrinted>2025-04-27T02:23:23Z</cp:lastPrinted>
  <dcterms:created xsi:type="dcterms:W3CDTF">2023-04-11T09:43:04Z</dcterms:created>
  <dcterms:modified xsi:type="dcterms:W3CDTF">2025-04-27T07:54:01Z</dcterms:modified>
</cp:coreProperties>
</file>